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defaultThemeVersion="166925"/>
  <mc:AlternateContent xmlns:mc="http://schemas.openxmlformats.org/markup-compatibility/2006">
    <mc:Choice Requires="x15">
      <x15ac:absPath xmlns:x15ac="http://schemas.microsoft.com/office/spreadsheetml/2010/11/ac" url="C:\Users\NinaRöschmann\Downloads\"/>
    </mc:Choice>
  </mc:AlternateContent>
  <xr:revisionPtr revIDLastSave="0" documentId="8_{7046E582-8E95-4C76-BF5F-C5ABBC630148}" xr6:coauthVersionLast="47" xr6:coauthVersionMax="47" xr10:uidLastSave="{00000000-0000-0000-0000-000000000000}"/>
  <bookViews>
    <workbookView xWindow="-110" yWindow="-110" windowWidth="24220" windowHeight="15500" tabRatio="509" xr2:uid="{A612062A-3429-42F1-8B61-E088C70ADA44}"/>
  </bookViews>
  <sheets>
    <sheet name="eQMS Query 042026" sheetId="4" r:id="rId1"/>
  </sheets>
  <definedNames>
    <definedName name="Datenschnitt_Änderungen">#N/A</definedName>
    <definedName name="Datenschnitt_Audit">#N/A</definedName>
    <definedName name="Datenschnitt_CAPA">#N/A</definedName>
    <definedName name="Datenschnitt_DMS">#N/A</definedName>
    <definedName name="Datenschnitt_Instandhaltung">#N/A</definedName>
    <definedName name="Datenschnitt_Lieferanten_Management">#N/A</definedName>
    <definedName name="Datenschnitt_Lieferanten_Reklamationen">#N/A</definedName>
    <definedName name="Datenschnitt_Personal">#N/A</definedName>
    <definedName name="Datenschnitt_Projekt_management">#N/A</definedName>
    <definedName name="Datenschnitt_Prozessvisualisierung">#N/A</definedName>
    <definedName name="Datenschnitt_Prüfdurchführung">#N/A</definedName>
    <definedName name="Datenschnitt_Prüfmittel">#N/A</definedName>
    <definedName name="Datenschnitt_Prüfplanung">#N/A</definedName>
    <definedName name="Datenschnitt_QMS_Vorlagen">#N/A</definedName>
    <definedName name="Datenschnitt_Reklamationen">#N/A</definedName>
    <definedName name="Datenschnitt_Requirements_Engineering">#N/A</definedName>
    <definedName name="Datenschnitt_Risiko">#N/A</definedName>
    <definedName name="Datenschnitt_Risk_Management">#N/A</definedName>
    <definedName name="Datenschnitt_Schulungen">#N/A</definedName>
    <definedName name="Datenschnitt_V_V">#N/A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4" l="1"/>
  <c r="F31" i="4"/>
  <c r="F29" i="4"/>
  <c r="F46" i="4"/>
  <c r="F39" i="4"/>
  <c r="F34" i="4"/>
  <c r="F25" i="4"/>
  <c r="F72" i="4"/>
  <c r="F20" i="4"/>
  <c r="F57" i="4"/>
  <c r="F55" i="4"/>
  <c r="F90" i="4"/>
  <c r="F18" i="4"/>
  <c r="F21" i="4"/>
  <c r="F22" i="4"/>
  <c r="F23" i="4"/>
  <c r="F24" i="4"/>
  <c r="F26" i="4"/>
  <c r="F27" i="4"/>
  <c r="F28" i="4"/>
  <c r="F30" i="4"/>
  <c r="F32" i="4"/>
  <c r="F33" i="4"/>
  <c r="F35" i="4"/>
  <c r="F36" i="4"/>
  <c r="F37" i="4"/>
  <c r="F38" i="4"/>
  <c r="F40" i="4"/>
  <c r="F41" i="4"/>
  <c r="F42" i="4"/>
  <c r="F44" i="4"/>
  <c r="F45" i="4"/>
  <c r="F47" i="4"/>
  <c r="F48" i="4"/>
  <c r="F49" i="4"/>
  <c r="F50" i="4"/>
  <c r="F51" i="4"/>
  <c r="F52" i="4"/>
  <c r="F53" i="4"/>
  <c r="F54" i="4"/>
  <c r="F56" i="4"/>
  <c r="F58" i="4"/>
  <c r="F59" i="4"/>
  <c r="F60" i="4"/>
  <c r="F61" i="4"/>
  <c r="F62" i="4"/>
  <c r="F63" i="4"/>
  <c r="F64" i="4"/>
  <c r="F65" i="4"/>
  <c r="F68" i="4"/>
  <c r="F69" i="4"/>
  <c r="F70" i="4"/>
  <c r="F71" i="4"/>
  <c r="F73" i="4"/>
  <c r="F74" i="4"/>
  <c r="F75" i="4"/>
  <c r="F76" i="4"/>
  <c r="F77" i="4"/>
  <c r="F78" i="4"/>
  <c r="F79" i="4"/>
  <c r="F80" i="4"/>
  <c r="F81" i="4"/>
  <c r="F82" i="4"/>
  <c r="F83" i="4"/>
  <c r="F84" i="4"/>
  <c r="F85" i="4"/>
  <c r="F87" i="4"/>
  <c r="F88" i="4"/>
  <c r="F89" i="4"/>
  <c r="F86" i="4"/>
  <c r="F43" i="4"/>
  <c r="F19" i="4"/>
  <c r="F67" i="4"/>
</calcChain>
</file>

<file path=xl/sharedStrings.xml><?xml version="1.0" encoding="utf-8"?>
<sst xmlns="http://schemas.openxmlformats.org/spreadsheetml/2006/main" count="1790" uniqueCount="197">
  <si>
    <t>eQMS Marktübersicht</t>
  </si>
  <si>
    <t>Übersicht der Anbieter von eQMS-Software</t>
  </si>
  <si>
    <t xml:space="preserve">in der Medizintechnik-Branche </t>
  </si>
  <si>
    <t>mit Funktionen/Modulen</t>
  </si>
  <si>
    <t>Nr.</t>
  </si>
  <si>
    <t>Produkt</t>
  </si>
  <si>
    <t>Plattform</t>
  </si>
  <si>
    <t>Land</t>
  </si>
  <si>
    <t>Firma</t>
  </si>
  <si>
    <t>Link</t>
  </si>
  <si>
    <t>QMS</t>
  </si>
  <si>
    <t>DMS</t>
  </si>
  <si>
    <t>QMS Vorlagen</t>
  </si>
  <si>
    <t>Prozessvisualisierung</t>
  </si>
  <si>
    <t>QM-Kernmodule</t>
  </si>
  <si>
    <t>Reklamationen</t>
  </si>
  <si>
    <t>CAPA</t>
  </si>
  <si>
    <t>Risiko</t>
  </si>
  <si>
    <t>Audit</t>
  </si>
  <si>
    <t>Änderungen</t>
  </si>
  <si>
    <t>HR</t>
  </si>
  <si>
    <t>Personal</t>
  </si>
  <si>
    <t>Schulungen</t>
  </si>
  <si>
    <t>Produktion /SCM</t>
  </si>
  <si>
    <t>Lieferanten-Management</t>
  </si>
  <si>
    <t>Lieferanten-Reklamationen</t>
  </si>
  <si>
    <t>Prüfmittel</t>
  </si>
  <si>
    <t>Instandhaltung</t>
  </si>
  <si>
    <t>Qualitätsprüfung</t>
  </si>
  <si>
    <t>Prüfplanung</t>
  </si>
  <si>
    <t>Prüfdurchführung</t>
  </si>
  <si>
    <t>ALM /Design Control</t>
  </si>
  <si>
    <t>Requirements Engineering</t>
  </si>
  <si>
    <t>Risk Management</t>
  </si>
  <si>
    <t>ACE</t>
  </si>
  <si>
    <t>Cloud</t>
  </si>
  <si>
    <t>USA</t>
  </si>
  <si>
    <t>PSC Software</t>
  </si>
  <si>
    <t>Ja</t>
  </si>
  <si>
    <t>Nein</t>
  </si>
  <si>
    <t>Cloud/ On premise</t>
  </si>
  <si>
    <t>CHE</t>
  </si>
  <si>
    <t>Aligned AG</t>
  </si>
  <si>
    <t>Arena QMS</t>
  </si>
  <si>
    <t>arena</t>
  </si>
  <si>
    <t>AssurX Platform</t>
  </si>
  <si>
    <t>AssurX</t>
  </si>
  <si>
    <t>Babtec/ BabtecQube</t>
  </si>
  <si>
    <t>DEU</t>
  </si>
  <si>
    <t>Babtec AG</t>
  </si>
  <si>
    <t>Bayoosoft Risk Manager</t>
  </si>
  <si>
    <t>On premise</t>
  </si>
  <si>
    <t>Bayoonet AG</t>
  </si>
  <si>
    <t>Bizzmine Digital QMS</t>
  </si>
  <si>
    <t>BEL</t>
  </si>
  <si>
    <t>Vivalid Software</t>
  </si>
  <si>
    <t>BPA</t>
  </si>
  <si>
    <t>BPA Solutions</t>
  </si>
  <si>
    <t>Cognidox</t>
  </si>
  <si>
    <t>UK</t>
  </si>
  <si>
    <t>Eagle Labs</t>
  </si>
  <si>
    <t>Companion QMS</t>
  </si>
  <si>
    <t>IRL</t>
  </si>
  <si>
    <t>Companion</t>
  </si>
  <si>
    <t>ConSense Professional</t>
  </si>
  <si>
    <t>ConSense GmbH</t>
  </si>
  <si>
    <t>CQ Quality Management System</t>
  </si>
  <si>
    <t>Compliance Quest Inc.</t>
  </si>
  <si>
    <t>DHC Vision</t>
  </si>
  <si>
    <t>DHC Business Solutions</t>
  </si>
  <si>
    <t>Dot Compliance</t>
  </si>
  <si>
    <t xml:space="preserve">eQMS </t>
  </si>
  <si>
    <t>NLD</t>
  </si>
  <si>
    <t>QasE3D</t>
  </si>
  <si>
    <t>eQMS.de</t>
  </si>
  <si>
    <t>Page Tec AG</t>
  </si>
  <si>
    <t>etq Reliance</t>
  </si>
  <si>
    <t>USA/EU</t>
  </si>
  <si>
    <t>ETQ</t>
  </si>
  <si>
    <t>Greenlight Guru</t>
  </si>
  <si>
    <t>Ibiqs online Quality Management System</t>
  </si>
  <si>
    <t>AUS</t>
  </si>
  <si>
    <t>Qiksolve Pty Ltd</t>
  </si>
  <si>
    <t>Improve</t>
  </si>
  <si>
    <t>Synprovis AG</t>
  </si>
  <si>
    <t>IMS Premium</t>
  </si>
  <si>
    <t>IMS AG</t>
  </si>
  <si>
    <t>Intellect QMS 4.0</t>
  </si>
  <si>
    <t>Intellect</t>
  </si>
  <si>
    <t>IQSoft</t>
  </si>
  <si>
    <t>IQS AG</t>
  </si>
  <si>
    <t>Limsophy BPM</t>
  </si>
  <si>
    <t>Lumin Logic</t>
  </si>
  <si>
    <t>Method Sense Inc.</t>
  </si>
  <si>
    <t>Master Control</t>
  </si>
  <si>
    <t>Master Control, Inc.</t>
  </si>
  <si>
    <t>MatrixQMS / ALM</t>
  </si>
  <si>
    <t>Matrix Requirements</t>
  </si>
  <si>
    <t xml:space="preserve">Meddevo Medtech </t>
  </si>
  <si>
    <t>Meddevo</t>
  </si>
  <si>
    <t>Open Regulatory</t>
  </si>
  <si>
    <t>Open Reg GmbH</t>
  </si>
  <si>
    <t>Optimisio Suite</t>
  </si>
  <si>
    <t>Optimisio Group</t>
  </si>
  <si>
    <t>Orcanos QMS</t>
  </si>
  <si>
    <t>ISR/EU</t>
  </si>
  <si>
    <t>Orcanos</t>
  </si>
  <si>
    <t>Polarion</t>
  </si>
  <si>
    <t>Siemens Digital Industries Software</t>
  </si>
  <si>
    <t>propel QMS</t>
  </si>
  <si>
    <t>Propel</t>
  </si>
  <si>
    <t>Q.wiki</t>
  </si>
  <si>
    <t>Modell Aachen</t>
  </si>
  <si>
    <t>QAD EQMS</t>
  </si>
  <si>
    <t>QAD</t>
  </si>
  <si>
    <t>QCBD</t>
  </si>
  <si>
    <t>CAMA Software</t>
  </si>
  <si>
    <t>qmsWrapper</t>
  </si>
  <si>
    <t>CAN</t>
  </si>
  <si>
    <t>UVA Research Corp</t>
  </si>
  <si>
    <t>QT9QMS</t>
  </si>
  <si>
    <t>QT9</t>
  </si>
  <si>
    <t>Qualcy</t>
  </si>
  <si>
    <t>Qualcy Systems Inc</t>
  </si>
  <si>
    <t>Qualio QMS</t>
  </si>
  <si>
    <t>USA/IRL</t>
  </si>
  <si>
    <t>Qualio</t>
  </si>
  <si>
    <t>QualityEdge</t>
  </si>
  <si>
    <t>IND</t>
  </si>
  <si>
    <t>Sarjen Systems</t>
  </si>
  <si>
    <t>Qualityze</t>
  </si>
  <si>
    <t>Qualityze Inc</t>
  </si>
  <si>
    <t>Roxtra</t>
  </si>
  <si>
    <t>Roxtra GmbH</t>
  </si>
  <si>
    <t>Scilife (vorher: QualityKick)</t>
  </si>
  <si>
    <t>Scilife NV</t>
  </si>
  <si>
    <t>S-Cube Technologies Limited</t>
  </si>
  <si>
    <t>shareflex</t>
  </si>
  <si>
    <t>Portal Systems AG</t>
  </si>
  <si>
    <t>Sierra Labs</t>
  </si>
  <si>
    <t>SimplerQMS</t>
  </si>
  <si>
    <t>DNK</t>
  </si>
  <si>
    <t>Simpler QMS A/S</t>
  </si>
  <si>
    <t>SmartProcess</t>
  </si>
  <si>
    <t>CWA</t>
  </si>
  <si>
    <t>SmartSolve</t>
  </si>
  <si>
    <t>Pilgrim by IQVIA</t>
  </si>
  <si>
    <t>SoftComply</t>
  </si>
  <si>
    <t>EST, DEU</t>
  </si>
  <si>
    <t>SoftExpert EQM</t>
  </si>
  <si>
    <t>BRA, DEU</t>
  </si>
  <si>
    <t>SoftExpert</t>
  </si>
  <si>
    <t>Stendard.io</t>
  </si>
  <si>
    <t>SGP</t>
  </si>
  <si>
    <t>Stendard</t>
  </si>
  <si>
    <t>TrackWise Digital Quality Management System </t>
  </si>
  <si>
    <t>Sparta Systems (Honeywell)</t>
  </si>
  <si>
    <t>Veeva</t>
  </si>
  <si>
    <t>Veeva Systems Inc.</t>
  </si>
  <si>
    <t>ViFlow</t>
  </si>
  <si>
    <t>ViCon GmbH</t>
  </si>
  <si>
    <t>CAQ.Net</t>
  </si>
  <si>
    <t>CAQ AG Factory Systems</t>
  </si>
  <si>
    <t>Consys AG</t>
  </si>
  <si>
    <t>SmartEye</t>
  </si>
  <si>
    <t>V&amp;V</t>
  </si>
  <si>
    <t>AUT</t>
  </si>
  <si>
    <t>WissIntra</t>
  </si>
  <si>
    <t>k+k Information Services GmbH</t>
  </si>
  <si>
    <t>TraceX</t>
  </si>
  <si>
    <t>FRA</t>
  </si>
  <si>
    <t>FormlyAI</t>
  </si>
  <si>
    <t>Adaptive QMS</t>
  </si>
  <si>
    <t>QMSR eQMS</t>
  </si>
  <si>
    <t>eLeaP (QMSR eQMS)</t>
  </si>
  <si>
    <t>MedDev eQMS</t>
  </si>
  <si>
    <t>wega Informatik AG</t>
  </si>
  <si>
    <t>Projekt-management</t>
  </si>
  <si>
    <t>MedQdoc</t>
  </si>
  <si>
    <t>SWE</t>
  </si>
  <si>
    <t>Aiti</t>
  </si>
  <si>
    <t>Aiti GmbH</t>
  </si>
  <si>
    <t>Qualishare</t>
  </si>
  <si>
    <t>Bayoosoft</t>
  </si>
  <si>
    <t>Bayoosoft GmbH</t>
  </si>
  <si>
    <t>Confideck</t>
  </si>
  <si>
    <t>Confideck GmbH</t>
  </si>
  <si>
    <t>Ennov</t>
  </si>
  <si>
    <t>Ideagen</t>
  </si>
  <si>
    <t>ja</t>
  </si>
  <si>
    <t>BrixIQ</t>
  </si>
  <si>
    <t>Cloudtheapp</t>
  </si>
  <si>
    <t>Aligned Elements / eQMS</t>
  </si>
  <si>
    <t>Qity iQMS</t>
  </si>
  <si>
    <t>Qity</t>
  </si>
  <si>
    <t xml:space="preserve">by inmedis AG © </t>
  </si>
  <si>
    <t>www.inmedis.ch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</si>
</sst>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Fr.&quot;\ #,##0.00"/>
  </numFmts>
  <fonts count="10" x14ac:knownFonts="1">
    <font>
      <sz val="10"/>
      <color theme="1"/>
      <name val="Century Gothic"/>
      <family val="2"/>
    </font>
    <font>
      <sz val="11"/>
      <color theme="1"/>
      <name val="Calibri"/>
      <family val="2"/>
      <scheme val="minor"/>
    </font>
    <font>
      <sz val="11"/>
      <color theme="0"/>
      <name val="Calibri"/>
      <family val="2"/>
      <scheme val="minor"/>
    </font>
    <font>
      <b/>
      <sz val="12"/>
      <color theme="0" tint="-0.499984740745262"/>
      <name val="Century Gothic"/>
      <family val="2"/>
    </font>
    <font>
      <u/>
      <sz val="10"/>
      <color theme="10"/>
      <name val="Century Gothic"/>
      <family val="2"/>
    </font>
    <font>
      <b/>
      <sz val="12"/>
      <color theme="1"/>
      <name val="Century Gothic"/>
      <family val="2"/>
    </font>
    <font>
      <sz val="11"/>
      <color theme="1"/>
      <name val="Century Gothic"/>
      <family val="2"/>
    </font>
    <font>
      <sz val="11"/>
      <name val="Century Gothic"/>
      <family val="2"/>
    </font>
    <font>
      <sz val="11"/>
      <color theme="0"/>
      <name val="Century Gothic"/>
      <family val="2"/>
    </font>
    <font>
      <u/>
      <sz val="11"/>
      <color theme="10"/>
      <name val="Century Gothic"/>
      <family val="2"/>
    </font>
  </fonts>
  <fills count="13">
    <fill>
      <patternFill patternType="none"/>
    </fill>
    <fill>
      <patternFill patternType="gray125"/>
    </fill>
    <fill>
      <patternFill patternType="solid">
        <fgColor theme="6"/>
      </patternFill>
    </fill>
    <fill>
      <patternFill patternType="solid">
        <fgColor theme="8"/>
      </patternFill>
    </fill>
    <fill>
      <patternFill patternType="solid">
        <fgColor theme="5"/>
      </patternFill>
    </fill>
    <fill>
      <patternFill patternType="solid">
        <fgColor theme="5" tint="0.39997558519241921"/>
        <bgColor indexed="65"/>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D3A77B"/>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0"/>
        <bgColor indexed="64"/>
      </patternFill>
    </fill>
  </fills>
  <borders count="2">
    <border>
      <left/>
      <right/>
      <top/>
      <bottom/>
      <diagonal/>
    </border>
    <border>
      <left/>
      <right/>
      <top style="thin">
        <color theme="2" tint="-9.9978637043366805E-2"/>
      </top>
      <bottom style="double">
        <color theme="2" tint="-9.9978637043366805E-2"/>
      </bottom>
      <diagonal/>
    </border>
  </borders>
  <cellStyleXfs count="7">
    <xf numFmtId="0" fontId="0" fillId="0" borderId="0">
      <alignment horizontal="left" vertical="top" wrapText="1"/>
    </xf>
    <xf numFmtId="0" fontId="2" fillId="2" borderId="0" applyNumberFormat="0" applyBorder="0" applyAlignment="0" applyProtection="0"/>
    <xf numFmtId="0" fontId="2" fillId="3" borderId="0" applyNumberFormat="0" applyBorder="0" applyAlignment="0" applyProtection="0"/>
    <xf numFmtId="0" fontId="4" fillId="0" borderId="0" applyNumberFormat="0" applyFill="0" applyBorder="0" applyAlignment="0" applyProtection="0">
      <alignment horizontal="left" vertical="top" wrapText="1"/>
    </xf>
    <xf numFmtId="164" fontId="3" fillId="0" borderId="0" applyFill="0" applyBorder="0"/>
    <xf numFmtId="0" fontId="2" fillId="4" borderId="0" applyNumberFormat="0" applyBorder="0" applyAlignment="0" applyProtection="0"/>
    <xf numFmtId="0" fontId="1" fillId="5" borderId="0" applyNumberFormat="0" applyBorder="0" applyAlignment="0" applyProtection="0"/>
  </cellStyleXfs>
  <cellXfs count="18">
    <xf numFmtId="0" fontId="0" fillId="0" borderId="0" xfId="0">
      <alignment horizontal="left" vertical="top" wrapText="1"/>
    </xf>
    <xf numFmtId="0" fontId="5" fillId="0" borderId="0" xfId="0" applyFont="1">
      <alignment horizontal="left" vertical="top" wrapText="1"/>
    </xf>
    <xf numFmtId="0" fontId="6" fillId="0" borderId="0" xfId="0" applyFont="1">
      <alignment horizontal="left" vertical="top" wrapText="1"/>
    </xf>
    <xf numFmtId="0" fontId="7" fillId="12" borderId="0" xfId="2" applyFont="1" applyFill="1" applyBorder="1" applyAlignment="1" applyProtection="1">
      <alignment horizontal="left" vertical="top" wrapText="1"/>
      <protection locked="0"/>
    </xf>
    <xf numFmtId="0" fontId="7" fillId="12" borderId="0" xfId="2" applyFont="1" applyFill="1" applyBorder="1" applyAlignment="1" applyProtection="1">
      <alignment horizontal="left" vertical="top"/>
      <protection locked="0"/>
    </xf>
    <xf numFmtId="0" fontId="7" fillId="7" borderId="0" xfId="5" applyFont="1" applyFill="1" applyBorder="1" applyAlignment="1" applyProtection="1">
      <alignment horizontal="left" vertical="top" wrapText="1"/>
      <protection locked="0"/>
    </xf>
    <xf numFmtId="0" fontId="7" fillId="7" borderId="0" xfId="6" applyFont="1" applyFill="1" applyBorder="1" applyAlignment="1" applyProtection="1">
      <alignment horizontal="left" vertical="top" wrapText="1"/>
      <protection locked="0"/>
    </xf>
    <xf numFmtId="0" fontId="7" fillId="6" borderId="0" xfId="1" applyFont="1" applyFill="1" applyBorder="1" applyAlignment="1" applyProtection="1">
      <alignment horizontal="left" vertical="top" wrapText="1"/>
      <protection locked="0"/>
    </xf>
    <xf numFmtId="0" fontId="7" fillId="8" borderId="0" xfId="1" applyFont="1" applyFill="1" applyBorder="1" applyAlignment="1" applyProtection="1">
      <alignment horizontal="left" vertical="top" wrapText="1"/>
      <protection locked="0"/>
    </xf>
    <xf numFmtId="0" fontId="7" fillId="9" borderId="0" xfId="1" applyFont="1" applyFill="1" applyBorder="1" applyAlignment="1" applyProtection="1">
      <alignment horizontal="left" vertical="top" wrapText="1"/>
      <protection locked="0"/>
    </xf>
    <xf numFmtId="0" fontId="7" fillId="10" borderId="0" xfId="1" applyFont="1" applyFill="1" applyBorder="1" applyAlignment="1" applyProtection="1">
      <alignment horizontal="left" vertical="top" wrapText="1"/>
      <protection locked="0"/>
    </xf>
    <xf numFmtId="0" fontId="8" fillId="11" borderId="0" xfId="1" applyFont="1" applyFill="1" applyBorder="1" applyAlignment="1" applyProtection="1">
      <alignment horizontal="left" vertical="top" wrapText="1"/>
      <protection locked="0"/>
    </xf>
    <xf numFmtId="0" fontId="6" fillId="0" borderId="0" xfId="0" applyFont="1" applyProtection="1">
      <alignment horizontal="left" vertical="top" wrapText="1"/>
      <protection locked="0"/>
    </xf>
    <xf numFmtId="0" fontId="6" fillId="0" borderId="0" xfId="0" applyFont="1" applyAlignment="1">
      <alignment horizontal="left" vertical="top"/>
    </xf>
    <xf numFmtId="0" fontId="4" fillId="0" borderId="0" xfId="3" applyProtection="1">
      <alignment horizontal="left" vertical="top" wrapText="1"/>
      <protection locked="0"/>
    </xf>
    <xf numFmtId="0" fontId="0" fillId="0" borderId="1" xfId="0" applyBorder="1">
      <alignment horizontal="left" vertical="top" wrapText="1"/>
    </xf>
    <xf numFmtId="0" fontId="0" fillId="0" borderId="0" xfId="0" applyProtection="1">
      <alignment horizontal="left" vertical="top" wrapText="1"/>
      <protection locked="0"/>
    </xf>
    <xf numFmtId="0" fontId="9" fillId="0" borderId="0" xfId="3" applyFont="1">
      <alignment horizontal="left" vertical="top" wrapText="1"/>
    </xf>
  </cellXfs>
  <cellStyles count="7">
    <cellStyle name="60 % - Akzent2" xfId="6" builtinId="36"/>
    <cellStyle name="Akzent2" xfId="5" builtinId="33"/>
    <cellStyle name="Akzent3" xfId="1" builtinId="37"/>
    <cellStyle name="Akzent5" xfId="2" builtinId="45"/>
    <cellStyle name="Link" xfId="3" builtinId="8"/>
    <cellStyle name="Standard" xfId="0" builtinId="0"/>
    <cellStyle name="Überschrift inmedis" xfId="4" xr:uid="{F5557717-7C45-45B0-BF4A-B03C22F1F4E1}"/>
  </cellStyles>
  <dxfs count="46">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font>
        <b/>
        <i val="0"/>
        <strike val="0"/>
        <color rgb="FF00B050"/>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protection locked="0" hidden="0"/>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0"/>
        <name val="Century Gothic"/>
        <family val="2"/>
        <scheme val="none"/>
      </font>
      <fill>
        <patternFill patternType="solid">
          <fgColor indexed="64"/>
          <bgColor theme="1" tint="0.499984740745262"/>
        </patternFill>
      </fill>
      <alignment horizontal="left" vertical="top" textRotation="0" wrapText="1" indent="0" justifyLastLine="0" shrinkToFit="0" readingOrder="0"/>
      <protection locked="0" hidden="0"/>
    </dxf>
    <dxf>
      <font>
        <b/>
        <i val="0"/>
      </font>
    </dxf>
    <dxf>
      <font>
        <b val="0"/>
        <i val="0"/>
      </font>
      <border>
        <left style="thin">
          <color theme="0" tint="-0.34998626667073579"/>
        </left>
        <right style="thin">
          <color theme="0" tint="-0.34998626667073579"/>
        </right>
        <top style="thin">
          <color theme="0" tint="-0.34998626667073579"/>
        </top>
        <bottom style="thin">
          <color theme="0" tint="-0.34998626667073579"/>
        </bottom>
      </border>
    </dxf>
  </dxfs>
  <tableStyles count="3" defaultTableStyle="TableStyleMedium2" defaultPivotStyle="PivotStyleLight16">
    <tableStyle name="Datenschnittformat 1" pivot="0" table="0" count="0" xr9:uid="{144A8C9D-AB48-4F37-9DC0-35F4420FA18C}"/>
    <tableStyle name="Datenschnittformat 2" pivot="0" table="0" count="4" xr9:uid="{8BB9B087-83F9-4AB7-A671-0D1A973A82F5}">
      <tableStyleElement type="wholeTable" dxfId="45"/>
      <tableStyleElement type="headerRow" dxfId="44"/>
    </tableStyle>
    <tableStyle name="Filter &quot;QMS&quot;" pivot="0" table="0" count="0" xr9:uid="{576E989F-5D32-427B-A370-F58AEE25605E}"/>
  </tableStyles>
  <colors>
    <mruColors>
      <color rgb="FFD3A77B"/>
      <color rgb="FFD3FFFF"/>
      <color rgb="FFCC9900"/>
      <color rgb="FF996633"/>
    </mruColors>
  </colors>
  <extLst>
    <ext xmlns:x14="http://schemas.microsoft.com/office/spreadsheetml/2009/9/main" uri="{46F421CA-312F-682f-3DD2-61675219B42D}">
      <x14:dxfs count="2">
        <dxf>
          <border diagonalUp="0" diagonalDown="0">
            <left/>
            <right/>
            <top/>
            <bottom/>
            <vertical/>
            <horizontal/>
          </border>
        </dxf>
        <dxf>
          <font>
            <b val="0"/>
            <i val="0"/>
          </font>
          <fill>
            <patternFill>
              <bgColor rgb="FFD3A77B"/>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x14:dxfs>
    </ext>
    <ext xmlns:x14="http://schemas.microsoft.com/office/spreadsheetml/2009/9/main" uri="{EB79DEF2-80B8-43e5-95BD-54CBDDF9020C}">
      <x14:slicerStyles defaultSlicerStyle="Datenschnittformat 1">
        <x14:slicerStyle name="Datenschnittformat 1"/>
        <x14:slicerStyle name="Datenschnittformat 2">
          <x14:slicerStyleElements>
            <x14:slicerStyleElement type="selectedItemWithData" dxfId="1"/>
            <x14:slicerStyleElement type="selectedItemWithNoData" dxfId="0"/>
          </x14:slicerStyleElements>
        </x14:slicerStyle>
        <x14:slicerStyle name="Filter &quot;QMS&quot;"/>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7.xml"/><Relationship Id="rId13" Type="http://schemas.microsoft.com/office/2007/relationships/slicerCache" Target="slicerCaches/slicerCache12.xml"/><Relationship Id="rId18" Type="http://schemas.microsoft.com/office/2007/relationships/slicerCache" Target="slicerCaches/slicerCache17.xml"/><Relationship Id="rId26" Type="http://schemas.openxmlformats.org/officeDocument/2006/relationships/customXml" Target="../customXml/item1.xml"/><Relationship Id="rId3" Type="http://schemas.microsoft.com/office/2007/relationships/slicerCache" Target="slicerCaches/slicerCache2.xml"/><Relationship Id="rId21" Type="http://schemas.microsoft.com/office/2007/relationships/slicerCache" Target="slicerCaches/slicerCache20.xml"/><Relationship Id="rId7" Type="http://schemas.microsoft.com/office/2007/relationships/slicerCache" Target="slicerCaches/slicerCache6.xml"/><Relationship Id="rId12" Type="http://schemas.microsoft.com/office/2007/relationships/slicerCache" Target="slicerCaches/slicerCache11.xml"/><Relationship Id="rId17" Type="http://schemas.microsoft.com/office/2007/relationships/slicerCache" Target="slicerCaches/slicerCache16.xml"/><Relationship Id="rId25" Type="http://schemas.openxmlformats.org/officeDocument/2006/relationships/calcChain" Target="calcChain.xml"/><Relationship Id="rId2" Type="http://schemas.microsoft.com/office/2007/relationships/slicerCache" Target="slicerCaches/slicerCache1.xml"/><Relationship Id="rId16" Type="http://schemas.microsoft.com/office/2007/relationships/slicerCache" Target="slicerCaches/slicerCache15.xml"/><Relationship Id="rId20" Type="http://schemas.microsoft.com/office/2007/relationships/slicerCache" Target="slicerCaches/slicerCache19.xml"/><Relationship Id="rId29" Type="http://schemas.openxmlformats.org/officeDocument/2006/relationships/customXml" Target="../customXml/item4.xml"/><Relationship Id="rId1" Type="http://schemas.openxmlformats.org/officeDocument/2006/relationships/worksheet" Target="worksheets/sheet1.xml"/><Relationship Id="rId6" Type="http://schemas.microsoft.com/office/2007/relationships/slicerCache" Target="slicerCaches/slicerCache5.xml"/><Relationship Id="rId11" Type="http://schemas.microsoft.com/office/2007/relationships/slicerCache" Target="slicerCaches/slicerCache10.xml"/><Relationship Id="rId24" Type="http://schemas.openxmlformats.org/officeDocument/2006/relationships/sharedStrings" Target="sharedStrings.xml"/><Relationship Id="rId5" Type="http://schemas.microsoft.com/office/2007/relationships/slicerCache" Target="slicerCaches/slicerCache4.xml"/><Relationship Id="rId15" Type="http://schemas.microsoft.com/office/2007/relationships/slicerCache" Target="slicerCaches/slicerCache14.xml"/><Relationship Id="rId23" Type="http://schemas.openxmlformats.org/officeDocument/2006/relationships/styles" Target="styles.xml"/><Relationship Id="rId28" Type="http://schemas.openxmlformats.org/officeDocument/2006/relationships/customXml" Target="../customXml/item3.xml"/><Relationship Id="rId10" Type="http://schemas.microsoft.com/office/2007/relationships/slicerCache" Target="slicerCaches/slicerCache9.xml"/><Relationship Id="rId19" Type="http://schemas.microsoft.com/office/2007/relationships/slicerCache" Target="slicerCaches/slicerCache18.xml"/><Relationship Id="rId4" Type="http://schemas.microsoft.com/office/2007/relationships/slicerCache" Target="slicerCaches/slicerCache3.xml"/><Relationship Id="rId9" Type="http://schemas.microsoft.com/office/2007/relationships/slicerCache" Target="slicerCaches/slicerCache8.xml"/><Relationship Id="rId14" Type="http://schemas.microsoft.com/office/2007/relationships/slicerCache" Target="slicerCaches/slicerCache13.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34925</xdr:colOff>
      <xdr:row>0</xdr:row>
      <xdr:rowOff>25400</xdr:rowOff>
    </xdr:from>
    <xdr:to>
      <xdr:col>13</xdr:col>
      <xdr:colOff>515964</xdr:colOff>
      <xdr:row>15</xdr:row>
      <xdr:rowOff>135394</xdr:rowOff>
    </xdr:to>
    <xdr:grpSp>
      <xdr:nvGrpSpPr>
        <xdr:cNvPr id="11" name="Gruppieren 10">
          <a:extLst>
            <a:ext uri="{FF2B5EF4-FFF2-40B4-BE49-F238E27FC236}">
              <a16:creationId xmlns:a16="http://schemas.microsoft.com/office/drawing/2014/main" id="{832034F3-E599-486F-2250-CFFFAF1DFB8D}"/>
            </a:ext>
          </a:extLst>
        </xdr:cNvPr>
        <xdr:cNvGrpSpPr/>
      </xdr:nvGrpSpPr>
      <xdr:grpSpPr>
        <a:xfrm>
          <a:off x="12509147" y="25400"/>
          <a:ext cx="3811261" cy="2967494"/>
          <a:chOff x="5814325" y="0"/>
          <a:chExt cx="2670721" cy="2640188"/>
        </a:xfrm>
      </xdr:grpSpPr>
      <xdr:sp macro="" textlink="">
        <xdr:nvSpPr>
          <xdr:cNvPr id="17" name="Rechteck: abgerundete Ecken 16">
            <a:extLst>
              <a:ext uri="{FF2B5EF4-FFF2-40B4-BE49-F238E27FC236}">
                <a16:creationId xmlns:a16="http://schemas.microsoft.com/office/drawing/2014/main" id="{3CC21343-2AE5-DFA8-1F64-1ECA8F36F208}"/>
              </a:ext>
            </a:extLst>
          </xdr:cNvPr>
          <xdr:cNvSpPr/>
        </xdr:nvSpPr>
        <xdr:spPr>
          <a:xfrm>
            <a:off x="5814325" y="0"/>
            <a:ext cx="2670721" cy="2640188"/>
          </a:xfrm>
          <a:prstGeom prst="roundRect">
            <a:avLst>
              <a:gd name="adj" fmla="val 6869"/>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l"/>
            <a:r>
              <a:rPr lang="de-CH" sz="1100" b="1">
                <a:solidFill>
                  <a:sysClr val="windowText" lastClr="000000"/>
                </a:solidFill>
              </a:rPr>
              <a:t>Filter "QM-Kernmodule"</a:t>
            </a:r>
          </a:p>
        </xdr:txBody>
      </xdr:sp>
    </xdr:grpSp>
    <xdr:clientData/>
  </xdr:twoCellAnchor>
  <xdr:twoCellAnchor editAs="oneCell">
    <xdr:from>
      <xdr:col>16</xdr:col>
      <xdr:colOff>19050</xdr:colOff>
      <xdr:row>0</xdr:row>
      <xdr:rowOff>25400</xdr:rowOff>
    </xdr:from>
    <xdr:to>
      <xdr:col>18</xdr:col>
      <xdr:colOff>761</xdr:colOff>
      <xdr:row>15</xdr:row>
      <xdr:rowOff>133350</xdr:rowOff>
    </xdr:to>
    <xdr:sp macro="" textlink="">
      <xdr:nvSpPr>
        <xdr:cNvPr id="21" name="Rechteck: abgerundete Ecken 20">
          <a:extLst>
            <a:ext uri="{FF2B5EF4-FFF2-40B4-BE49-F238E27FC236}">
              <a16:creationId xmlns:a16="http://schemas.microsoft.com/office/drawing/2014/main" id="{8D8B080F-0458-EFB9-64C1-524985179E52}"/>
            </a:ext>
          </a:extLst>
        </xdr:cNvPr>
        <xdr:cNvSpPr/>
      </xdr:nvSpPr>
      <xdr:spPr>
        <a:xfrm>
          <a:off x="19192875" y="25400"/>
          <a:ext cx="2162936" cy="2965450"/>
        </a:xfrm>
        <a:prstGeom prst="roundRect">
          <a:avLst>
            <a:gd name="adj" fmla="val 6869"/>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l"/>
          <a:r>
            <a:rPr lang="de-CH" sz="1100" b="1">
              <a:solidFill>
                <a:sysClr val="windowText" lastClr="000000"/>
              </a:solidFill>
            </a:rPr>
            <a:t>Filter "HR"</a:t>
          </a:r>
        </a:p>
      </xdr:txBody>
    </xdr:sp>
    <xdr:clientData/>
  </xdr:twoCellAnchor>
  <xdr:twoCellAnchor editAs="oneCell">
    <xdr:from>
      <xdr:col>19</xdr:col>
      <xdr:colOff>28575</xdr:colOff>
      <xdr:row>0</xdr:row>
      <xdr:rowOff>38100</xdr:rowOff>
    </xdr:from>
    <xdr:to>
      <xdr:col>21</xdr:col>
      <xdr:colOff>2121</xdr:colOff>
      <xdr:row>15</xdr:row>
      <xdr:rowOff>131067</xdr:rowOff>
    </xdr:to>
    <xdr:grpSp>
      <xdr:nvGrpSpPr>
        <xdr:cNvPr id="24" name="Gruppieren 23">
          <a:extLst>
            <a:ext uri="{FF2B5EF4-FFF2-40B4-BE49-F238E27FC236}">
              <a16:creationId xmlns:a16="http://schemas.microsoft.com/office/drawing/2014/main" id="{8CCE8820-92C3-E9FF-8B92-F1EB1D754C8D}"/>
            </a:ext>
          </a:extLst>
        </xdr:cNvPr>
        <xdr:cNvGrpSpPr/>
      </xdr:nvGrpSpPr>
      <xdr:grpSpPr>
        <a:xfrm>
          <a:off x="22352353" y="38100"/>
          <a:ext cx="2146657" cy="2950467"/>
          <a:chOff x="11632965" y="0"/>
          <a:chExt cx="1497461" cy="2640188"/>
        </a:xfrm>
      </xdr:grpSpPr>
      <xdr:sp macro="" textlink="">
        <xdr:nvSpPr>
          <xdr:cNvPr id="29" name="Rechteck: abgerundete Ecken 28">
            <a:extLst>
              <a:ext uri="{FF2B5EF4-FFF2-40B4-BE49-F238E27FC236}">
                <a16:creationId xmlns:a16="http://schemas.microsoft.com/office/drawing/2014/main" id="{9AA5B0E5-9172-73A9-6903-F257354DC0AA}"/>
              </a:ext>
            </a:extLst>
          </xdr:cNvPr>
          <xdr:cNvSpPr/>
        </xdr:nvSpPr>
        <xdr:spPr>
          <a:xfrm>
            <a:off x="11632965" y="0"/>
            <a:ext cx="1497461" cy="2640188"/>
          </a:xfrm>
          <a:prstGeom prst="roundRect">
            <a:avLst>
              <a:gd name="adj" fmla="val 6869"/>
            </a:avLst>
          </a:prstGeom>
          <a:solidFill>
            <a:srgbClr val="D3A77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l"/>
            <a:r>
              <a:rPr lang="de-CH" sz="1100" b="1">
                <a:solidFill>
                  <a:sysClr val="windowText" lastClr="000000"/>
                </a:solidFill>
              </a:rPr>
              <a:t>Filter "Produktion/SCM"</a:t>
            </a:r>
          </a:p>
        </xdr:txBody>
      </xdr:sp>
    </xdr:grpSp>
    <xdr:clientData/>
  </xdr:twoCellAnchor>
  <xdr:twoCellAnchor editAs="oneCell">
    <xdr:from>
      <xdr:col>24</xdr:col>
      <xdr:colOff>28575</xdr:colOff>
      <xdr:row>0</xdr:row>
      <xdr:rowOff>38100</xdr:rowOff>
    </xdr:from>
    <xdr:to>
      <xdr:col>25</xdr:col>
      <xdr:colOff>962734</xdr:colOff>
      <xdr:row>15</xdr:row>
      <xdr:rowOff>126008</xdr:rowOff>
    </xdr:to>
    <xdr:grpSp>
      <xdr:nvGrpSpPr>
        <xdr:cNvPr id="31" name="Gruppieren 30">
          <a:extLst>
            <a:ext uri="{FF2B5EF4-FFF2-40B4-BE49-F238E27FC236}">
              <a16:creationId xmlns:a16="http://schemas.microsoft.com/office/drawing/2014/main" id="{B4C6E7BA-27EE-1AF5-0C9F-3FA864C6793E}"/>
            </a:ext>
          </a:extLst>
        </xdr:cNvPr>
        <xdr:cNvGrpSpPr/>
      </xdr:nvGrpSpPr>
      <xdr:grpSpPr>
        <a:xfrm>
          <a:off x="27785131" y="38100"/>
          <a:ext cx="2161825" cy="2945408"/>
          <a:chOff x="13613899" y="0"/>
          <a:chExt cx="1702533" cy="2640188"/>
        </a:xfrm>
      </xdr:grpSpPr>
      <xdr:sp macro="" textlink="">
        <xdr:nvSpPr>
          <xdr:cNvPr id="34" name="Rechteck: abgerundete Ecken 33">
            <a:extLst>
              <a:ext uri="{FF2B5EF4-FFF2-40B4-BE49-F238E27FC236}">
                <a16:creationId xmlns:a16="http://schemas.microsoft.com/office/drawing/2014/main" id="{87711193-5734-FAF6-6A63-ABA4318B409B}"/>
              </a:ext>
            </a:extLst>
          </xdr:cNvPr>
          <xdr:cNvSpPr/>
        </xdr:nvSpPr>
        <xdr:spPr>
          <a:xfrm>
            <a:off x="13613899" y="0"/>
            <a:ext cx="1702533" cy="2640188"/>
          </a:xfrm>
          <a:prstGeom prst="roundRect">
            <a:avLst>
              <a:gd name="adj" fmla="val 6869"/>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l"/>
            <a:r>
              <a:rPr lang="de-CH" sz="1100" b="1">
                <a:solidFill>
                  <a:sysClr val="windowText" lastClr="000000"/>
                </a:solidFill>
              </a:rPr>
              <a:t>Filter "Qualitätsprüfung"</a:t>
            </a:r>
          </a:p>
        </xdr:txBody>
      </xdr:sp>
    </xdr:grpSp>
    <xdr:clientData/>
  </xdr:twoCellAnchor>
  <xdr:twoCellAnchor editAs="oneCell">
    <xdr:from>
      <xdr:col>27</xdr:col>
      <xdr:colOff>47625</xdr:colOff>
      <xdr:row>0</xdr:row>
      <xdr:rowOff>47625</xdr:rowOff>
    </xdr:from>
    <xdr:to>
      <xdr:col>29</xdr:col>
      <xdr:colOff>31467</xdr:colOff>
      <xdr:row>15</xdr:row>
      <xdr:rowOff>130350</xdr:rowOff>
    </xdr:to>
    <xdr:grpSp>
      <xdr:nvGrpSpPr>
        <xdr:cNvPr id="36" name="Gruppieren 35">
          <a:extLst>
            <a:ext uri="{FF2B5EF4-FFF2-40B4-BE49-F238E27FC236}">
              <a16:creationId xmlns:a16="http://schemas.microsoft.com/office/drawing/2014/main" id="{5D939597-7A67-B87D-AD7D-3E23908F49B3}"/>
            </a:ext>
          </a:extLst>
        </xdr:cNvPr>
        <xdr:cNvGrpSpPr/>
      </xdr:nvGrpSpPr>
      <xdr:grpSpPr>
        <a:xfrm>
          <a:off x="31487181" y="47625"/>
          <a:ext cx="2156953" cy="2940225"/>
          <a:chOff x="15577293" y="0"/>
          <a:chExt cx="1520439" cy="2640188"/>
        </a:xfrm>
      </xdr:grpSpPr>
      <xdr:sp macro="" textlink="">
        <xdr:nvSpPr>
          <xdr:cNvPr id="41" name="Rechteck: abgerundete Ecken 40">
            <a:extLst>
              <a:ext uri="{FF2B5EF4-FFF2-40B4-BE49-F238E27FC236}">
                <a16:creationId xmlns:a16="http://schemas.microsoft.com/office/drawing/2014/main" id="{E78C8D37-5516-961C-9D51-BF18623761FA}"/>
              </a:ext>
            </a:extLst>
          </xdr:cNvPr>
          <xdr:cNvSpPr/>
        </xdr:nvSpPr>
        <xdr:spPr>
          <a:xfrm>
            <a:off x="15577293" y="0"/>
            <a:ext cx="1520439" cy="2640188"/>
          </a:xfrm>
          <a:prstGeom prst="roundRect">
            <a:avLst>
              <a:gd name="adj" fmla="val 6869"/>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l"/>
            <a:r>
              <a:rPr lang="de-CH" sz="1100" b="1">
                <a:solidFill>
                  <a:schemeClr val="bg1"/>
                </a:solidFill>
              </a:rPr>
              <a:t>Filter "ALM/Design Control"</a:t>
            </a:r>
          </a:p>
        </xdr:txBody>
      </xdr:sp>
    </xdr:grpSp>
    <xdr:clientData/>
  </xdr:twoCellAnchor>
  <xdr:twoCellAnchor>
    <xdr:from>
      <xdr:col>6</xdr:col>
      <xdr:colOff>19050</xdr:colOff>
      <xdr:row>0</xdr:row>
      <xdr:rowOff>28575</xdr:rowOff>
    </xdr:from>
    <xdr:to>
      <xdr:col>7</xdr:col>
      <xdr:colOff>1047750</xdr:colOff>
      <xdr:row>15</xdr:row>
      <xdr:rowOff>134833</xdr:rowOff>
    </xdr:to>
    <xdr:grpSp>
      <xdr:nvGrpSpPr>
        <xdr:cNvPr id="45" name="Gruppieren 44">
          <a:extLst>
            <a:ext uri="{FF2B5EF4-FFF2-40B4-BE49-F238E27FC236}">
              <a16:creationId xmlns:a16="http://schemas.microsoft.com/office/drawing/2014/main" id="{1DA48834-E1D3-DE88-36A7-0CE89D9323E6}"/>
            </a:ext>
          </a:extLst>
        </xdr:cNvPr>
        <xdr:cNvGrpSpPr/>
      </xdr:nvGrpSpPr>
      <xdr:grpSpPr>
        <a:xfrm>
          <a:off x="8147050" y="28575"/>
          <a:ext cx="2115256" cy="2963758"/>
          <a:chOff x="8171136" y="25400"/>
          <a:chExt cx="2125717" cy="2966933"/>
        </a:xfrm>
      </xdr:grpSpPr>
      <xdr:sp macro="" textlink="">
        <xdr:nvSpPr>
          <xdr:cNvPr id="6" name="Rechteck: abgerundete Ecken 5">
            <a:extLst>
              <a:ext uri="{FF2B5EF4-FFF2-40B4-BE49-F238E27FC236}">
                <a16:creationId xmlns:a16="http://schemas.microsoft.com/office/drawing/2014/main" id="{A15110D7-41A6-DAFA-1224-B5FA44DDBF93}"/>
              </a:ext>
            </a:extLst>
          </xdr:cNvPr>
          <xdr:cNvSpPr/>
        </xdr:nvSpPr>
        <xdr:spPr>
          <a:xfrm>
            <a:off x="8171136" y="25400"/>
            <a:ext cx="2125717" cy="2966933"/>
          </a:xfrm>
          <a:prstGeom prst="roundRect">
            <a:avLst/>
          </a:prstGeom>
          <a:solidFill>
            <a:schemeClr val="accent2">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lang="de-CH" sz="1100" b="1">
                <a:solidFill>
                  <a:sysClr val="windowText" lastClr="000000"/>
                </a:solidFill>
              </a:rPr>
              <a:t>Filter "QMS"</a:t>
            </a:r>
          </a:p>
        </xdr:txBody>
      </xdr:sp>
      <mc:AlternateContent xmlns:mc="http://schemas.openxmlformats.org/markup-compatibility/2006" xmlns:sle15="http://schemas.microsoft.com/office/drawing/2012/slicer">
        <mc:Choice Requires="sle15">
          <xdr:graphicFrame macro="">
            <xdr:nvGraphicFramePr>
              <xdr:cNvPr id="42" name="DMS">
                <a:extLst>
                  <a:ext uri="{FF2B5EF4-FFF2-40B4-BE49-F238E27FC236}">
                    <a16:creationId xmlns:a16="http://schemas.microsoft.com/office/drawing/2014/main" id="{60A9F6EA-7B06-58BC-1F39-194C7BA583E2}"/>
                  </a:ext>
                </a:extLst>
              </xdr:cNvPr>
              <xdr:cNvGraphicFramePr>
                <a:graphicFrameLocks/>
              </xdr:cNvGraphicFramePr>
            </xdr:nvGraphicFramePr>
            <xdr:xfrm>
              <a:off x="8418822" y="371432"/>
              <a:ext cx="1405085" cy="576617"/>
            </xdr:xfrm>
            <a:graphic>
              <a:graphicData uri="http://schemas.microsoft.com/office/drawing/2010/slicer">
                <sle:slicer xmlns:sle="http://schemas.microsoft.com/office/drawing/2010/slicer" name="DMS"/>
              </a:graphicData>
            </a:graphic>
          </xdr:graphicFrame>
        </mc:Choice>
        <mc:Fallback xmlns="">
          <xdr:sp macro="" textlink="">
            <xdr:nvSpPr>
              <xdr:cNvPr id="0" name=""/>
              <xdr:cNvSpPr>
                <a:spLocks noTextEdit="1"/>
              </xdr:cNvSpPr>
            </xdr:nvSpPr>
            <xdr:spPr>
              <a:xfrm>
                <a:off x="8419945" y="371432"/>
                <a:ext cx="1404000" cy="576617"/>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43" name="QMS Vorlagen">
                <a:extLst>
                  <a:ext uri="{FF2B5EF4-FFF2-40B4-BE49-F238E27FC236}">
                    <a16:creationId xmlns:a16="http://schemas.microsoft.com/office/drawing/2014/main" id="{E5FDE1F7-A000-3B84-9F91-D18F1D7C3DA7}"/>
                  </a:ext>
                </a:extLst>
              </xdr:cNvPr>
              <xdr:cNvGraphicFramePr/>
            </xdr:nvGraphicFramePr>
            <xdr:xfrm>
              <a:off x="8418822" y="1000054"/>
              <a:ext cx="1405085" cy="576617"/>
            </xdr:xfrm>
            <a:graphic>
              <a:graphicData uri="http://schemas.microsoft.com/office/drawing/2010/slicer">
                <sle:slicer xmlns:sle="http://schemas.microsoft.com/office/drawing/2010/slicer" name="QMS Vorlagen"/>
              </a:graphicData>
            </a:graphic>
          </xdr:graphicFrame>
        </mc:Choice>
        <mc:Fallback xmlns="">
          <xdr:sp macro="" textlink="">
            <xdr:nvSpPr>
              <xdr:cNvPr id="0" name=""/>
              <xdr:cNvSpPr>
                <a:spLocks noTextEdit="1"/>
              </xdr:cNvSpPr>
            </xdr:nvSpPr>
            <xdr:spPr>
              <a:xfrm>
                <a:off x="8419945" y="1000054"/>
                <a:ext cx="1404000" cy="576617"/>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44" name="Prozessvisualisierung">
                <a:extLst>
                  <a:ext uri="{FF2B5EF4-FFF2-40B4-BE49-F238E27FC236}">
                    <a16:creationId xmlns:a16="http://schemas.microsoft.com/office/drawing/2014/main" id="{C1429076-2148-5CFC-3C47-9C15274C1A23}"/>
                  </a:ext>
                </a:extLst>
              </xdr:cNvPr>
              <xdr:cNvGraphicFramePr/>
            </xdr:nvGraphicFramePr>
            <xdr:xfrm>
              <a:off x="8419041" y="1628663"/>
              <a:ext cx="1405085" cy="576617"/>
            </xdr:xfrm>
            <a:graphic>
              <a:graphicData uri="http://schemas.microsoft.com/office/drawing/2010/slicer">
                <sle:slicer xmlns:sle="http://schemas.microsoft.com/office/drawing/2010/slicer" name="Prozessvisualisierung"/>
              </a:graphicData>
            </a:graphic>
          </xdr:graphicFrame>
        </mc:Choice>
        <mc:Fallback xmlns="">
          <xdr:sp macro="" textlink="">
            <xdr:nvSpPr>
              <xdr:cNvPr id="0" name=""/>
              <xdr:cNvSpPr>
                <a:spLocks noTextEdit="1"/>
              </xdr:cNvSpPr>
            </xdr:nvSpPr>
            <xdr:spPr>
              <a:xfrm>
                <a:off x="8420164" y="1628663"/>
                <a:ext cx="1404000" cy="576617"/>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grpSp>
    <xdr:clientData/>
  </xdr:twoCellAnchor>
  <xdr:twoCellAnchor editAs="absolute">
    <xdr:from>
      <xdr:col>10</xdr:col>
      <xdr:colOff>187325</xdr:colOff>
      <xdr:row>1</xdr:row>
      <xdr:rowOff>104774</xdr:rowOff>
    </xdr:from>
    <xdr:to>
      <xdr:col>11</xdr:col>
      <xdr:colOff>494376</xdr:colOff>
      <xdr:row>4</xdr:row>
      <xdr:rowOff>141674</xdr:rowOff>
    </xdr:to>
    <mc:AlternateContent xmlns:mc="http://schemas.openxmlformats.org/markup-compatibility/2006" xmlns:sle15="http://schemas.microsoft.com/office/drawing/2012/slicer">
      <mc:Choice Requires="sle15">
        <xdr:graphicFrame macro="">
          <xdr:nvGraphicFramePr>
            <xdr:cNvPr id="46" name="Reklamationen">
              <a:extLst>
                <a:ext uri="{FF2B5EF4-FFF2-40B4-BE49-F238E27FC236}">
                  <a16:creationId xmlns:a16="http://schemas.microsoft.com/office/drawing/2014/main" id="{8636E2E3-3D0D-D8F1-8379-7BD0EE1E34BA}"/>
                </a:ext>
              </a:extLst>
            </xdr:cNvPr>
            <xdr:cNvGraphicFramePr/>
          </xdr:nvGraphicFramePr>
          <xdr:xfrm>
            <a:off x="0" y="0"/>
            <a:ext cx="0" cy="0"/>
          </xdr:xfrm>
          <a:graphic>
            <a:graphicData uri="http://schemas.microsoft.com/office/drawing/2010/slicer">
              <sle:slicer xmlns:sle="http://schemas.microsoft.com/office/drawing/2010/slicer" name="Reklamationen"/>
            </a:graphicData>
          </a:graphic>
        </xdr:graphicFrame>
      </mc:Choice>
      <mc:Fallback xmlns="">
        <xdr:sp macro="" textlink="">
          <xdr:nvSpPr>
            <xdr:cNvPr id="0" name=""/>
            <xdr:cNvSpPr>
              <a:spLocks noTextEdit="1"/>
            </xdr:cNvSpPr>
          </xdr:nvSpPr>
          <xdr:spPr>
            <a:xfrm>
              <a:off x="12722225" y="298449"/>
              <a:ext cx="1402426" cy="6084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10</xdr:col>
      <xdr:colOff>187325</xdr:colOff>
      <xdr:row>4</xdr:row>
      <xdr:rowOff>190479</xdr:rowOff>
    </xdr:from>
    <xdr:to>
      <xdr:col>11</xdr:col>
      <xdr:colOff>494376</xdr:colOff>
      <xdr:row>8</xdr:row>
      <xdr:rowOff>36879</xdr:rowOff>
    </xdr:to>
    <mc:AlternateContent xmlns:mc="http://schemas.openxmlformats.org/markup-compatibility/2006" xmlns:sle15="http://schemas.microsoft.com/office/drawing/2012/slicer">
      <mc:Choice Requires="sle15">
        <xdr:graphicFrame macro="">
          <xdr:nvGraphicFramePr>
            <xdr:cNvPr id="47" name="CAPA">
              <a:extLst>
                <a:ext uri="{FF2B5EF4-FFF2-40B4-BE49-F238E27FC236}">
                  <a16:creationId xmlns:a16="http://schemas.microsoft.com/office/drawing/2014/main" id="{AD81DD97-6F38-7EE9-9410-656B8D16547C}"/>
                </a:ext>
              </a:extLst>
            </xdr:cNvPr>
            <xdr:cNvGraphicFramePr/>
          </xdr:nvGraphicFramePr>
          <xdr:xfrm>
            <a:off x="0" y="0"/>
            <a:ext cx="0" cy="0"/>
          </xdr:xfrm>
          <a:graphic>
            <a:graphicData uri="http://schemas.microsoft.com/office/drawing/2010/slicer">
              <sle:slicer xmlns:sle="http://schemas.microsoft.com/office/drawing/2010/slicer" name="CAPA"/>
            </a:graphicData>
          </a:graphic>
        </xdr:graphicFrame>
      </mc:Choice>
      <mc:Fallback xmlns="">
        <xdr:sp macro="" textlink="">
          <xdr:nvSpPr>
            <xdr:cNvPr id="0" name=""/>
            <xdr:cNvSpPr>
              <a:spLocks noTextEdit="1"/>
            </xdr:cNvSpPr>
          </xdr:nvSpPr>
          <xdr:spPr>
            <a:xfrm>
              <a:off x="12722225" y="952479"/>
              <a:ext cx="1402426" cy="6084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10</xdr:col>
      <xdr:colOff>190500</xdr:colOff>
      <xdr:row>8</xdr:row>
      <xdr:rowOff>76198</xdr:rowOff>
    </xdr:from>
    <xdr:to>
      <xdr:col>11</xdr:col>
      <xdr:colOff>497550</xdr:colOff>
      <xdr:row>11</xdr:row>
      <xdr:rowOff>113098</xdr:rowOff>
    </xdr:to>
    <mc:AlternateContent xmlns:mc="http://schemas.openxmlformats.org/markup-compatibility/2006" xmlns:sle15="http://schemas.microsoft.com/office/drawing/2012/slicer">
      <mc:Choice Requires="sle15">
        <xdr:graphicFrame macro="">
          <xdr:nvGraphicFramePr>
            <xdr:cNvPr id="48" name="Risiko">
              <a:extLst>
                <a:ext uri="{FF2B5EF4-FFF2-40B4-BE49-F238E27FC236}">
                  <a16:creationId xmlns:a16="http://schemas.microsoft.com/office/drawing/2014/main" id="{3197B1E6-22DF-4B9D-40CD-64288BACBA1B}"/>
                </a:ext>
              </a:extLst>
            </xdr:cNvPr>
            <xdr:cNvGraphicFramePr/>
          </xdr:nvGraphicFramePr>
          <xdr:xfrm>
            <a:off x="0" y="0"/>
            <a:ext cx="0" cy="0"/>
          </xdr:xfrm>
          <a:graphic>
            <a:graphicData uri="http://schemas.microsoft.com/office/drawing/2010/slicer">
              <sle:slicer xmlns:sle="http://schemas.microsoft.com/office/drawing/2010/slicer" name="Risiko"/>
            </a:graphicData>
          </a:graphic>
        </xdr:graphicFrame>
      </mc:Choice>
      <mc:Fallback xmlns="">
        <xdr:sp macro="" textlink="">
          <xdr:nvSpPr>
            <xdr:cNvPr id="0" name=""/>
            <xdr:cNvSpPr>
              <a:spLocks noTextEdit="1"/>
            </xdr:cNvSpPr>
          </xdr:nvSpPr>
          <xdr:spPr>
            <a:xfrm>
              <a:off x="12725400" y="1600198"/>
              <a:ext cx="1402425" cy="6084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10</xdr:col>
      <xdr:colOff>191294</xdr:colOff>
      <xdr:row>11</xdr:row>
      <xdr:rowOff>161904</xdr:rowOff>
    </xdr:from>
    <xdr:to>
      <xdr:col>11</xdr:col>
      <xdr:colOff>498344</xdr:colOff>
      <xdr:row>15</xdr:row>
      <xdr:rowOff>8304</xdr:rowOff>
    </xdr:to>
    <mc:AlternateContent xmlns:mc="http://schemas.openxmlformats.org/markup-compatibility/2006" xmlns:sle15="http://schemas.microsoft.com/office/drawing/2012/slicer">
      <mc:Choice Requires="sle15">
        <xdr:graphicFrame macro="">
          <xdr:nvGraphicFramePr>
            <xdr:cNvPr id="49" name="Audit">
              <a:extLst>
                <a:ext uri="{FF2B5EF4-FFF2-40B4-BE49-F238E27FC236}">
                  <a16:creationId xmlns:a16="http://schemas.microsoft.com/office/drawing/2014/main" id="{F934DFCF-1FA3-4981-BA90-54DEAD870CA2}"/>
                </a:ext>
              </a:extLst>
            </xdr:cNvPr>
            <xdr:cNvGraphicFramePr/>
          </xdr:nvGraphicFramePr>
          <xdr:xfrm>
            <a:off x="0" y="0"/>
            <a:ext cx="0" cy="0"/>
          </xdr:xfrm>
          <a:graphic>
            <a:graphicData uri="http://schemas.microsoft.com/office/drawing/2010/slicer">
              <sle:slicer xmlns:sle="http://schemas.microsoft.com/office/drawing/2010/slicer" name="Audit"/>
            </a:graphicData>
          </a:graphic>
        </xdr:graphicFrame>
      </mc:Choice>
      <mc:Fallback xmlns="">
        <xdr:sp macro="" textlink="">
          <xdr:nvSpPr>
            <xdr:cNvPr id="0" name=""/>
            <xdr:cNvSpPr>
              <a:spLocks noTextEdit="1"/>
            </xdr:cNvSpPr>
          </xdr:nvSpPr>
          <xdr:spPr>
            <a:xfrm>
              <a:off x="12726194" y="2260579"/>
              <a:ext cx="1402425" cy="6084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11</xdr:col>
      <xdr:colOff>606425</xdr:colOff>
      <xdr:row>1</xdr:row>
      <xdr:rowOff>104773</xdr:rowOff>
    </xdr:from>
    <xdr:to>
      <xdr:col>12</xdr:col>
      <xdr:colOff>846800</xdr:colOff>
      <xdr:row>4</xdr:row>
      <xdr:rowOff>141673</xdr:rowOff>
    </xdr:to>
    <mc:AlternateContent xmlns:mc="http://schemas.openxmlformats.org/markup-compatibility/2006" xmlns:sle15="http://schemas.microsoft.com/office/drawing/2012/slicer">
      <mc:Choice Requires="sle15">
        <xdr:graphicFrame macro="">
          <xdr:nvGraphicFramePr>
            <xdr:cNvPr id="50" name="Änderungen">
              <a:extLst>
                <a:ext uri="{FF2B5EF4-FFF2-40B4-BE49-F238E27FC236}">
                  <a16:creationId xmlns:a16="http://schemas.microsoft.com/office/drawing/2014/main" id="{79D776E0-C7BE-A21B-D82E-205BC01B7DBF}"/>
                </a:ext>
              </a:extLst>
            </xdr:cNvPr>
            <xdr:cNvGraphicFramePr/>
          </xdr:nvGraphicFramePr>
          <xdr:xfrm>
            <a:off x="0" y="0"/>
            <a:ext cx="0" cy="0"/>
          </xdr:xfrm>
          <a:graphic>
            <a:graphicData uri="http://schemas.microsoft.com/office/drawing/2010/slicer">
              <sle:slicer xmlns:sle="http://schemas.microsoft.com/office/drawing/2010/slicer" name="Änderungen"/>
            </a:graphicData>
          </a:graphic>
        </xdr:graphicFrame>
      </mc:Choice>
      <mc:Fallback xmlns="">
        <xdr:sp macro="" textlink="">
          <xdr:nvSpPr>
            <xdr:cNvPr id="0" name=""/>
            <xdr:cNvSpPr>
              <a:spLocks noTextEdit="1"/>
            </xdr:cNvSpPr>
          </xdr:nvSpPr>
          <xdr:spPr>
            <a:xfrm>
              <a:off x="14236700" y="298448"/>
              <a:ext cx="1405600" cy="6084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16</xdr:col>
      <xdr:colOff>177800</xdr:colOff>
      <xdr:row>1</xdr:row>
      <xdr:rowOff>130175</xdr:rowOff>
    </xdr:from>
    <xdr:to>
      <xdr:col>17</xdr:col>
      <xdr:colOff>484850</xdr:colOff>
      <xdr:row>4</xdr:row>
      <xdr:rowOff>134675</xdr:rowOff>
    </xdr:to>
    <mc:AlternateContent xmlns:mc="http://schemas.openxmlformats.org/markup-compatibility/2006" xmlns:sle15="http://schemas.microsoft.com/office/drawing/2012/slicer">
      <mc:Choice Requires="sle15">
        <xdr:graphicFrame macro="">
          <xdr:nvGraphicFramePr>
            <xdr:cNvPr id="58" name="Personal">
              <a:extLst>
                <a:ext uri="{FF2B5EF4-FFF2-40B4-BE49-F238E27FC236}">
                  <a16:creationId xmlns:a16="http://schemas.microsoft.com/office/drawing/2014/main" id="{E6FE93A4-3D51-1485-2250-486928269313}"/>
                </a:ext>
              </a:extLst>
            </xdr:cNvPr>
            <xdr:cNvGraphicFramePr/>
          </xdr:nvGraphicFramePr>
          <xdr:xfrm>
            <a:off x="0" y="0"/>
            <a:ext cx="0" cy="0"/>
          </xdr:xfrm>
          <a:graphic>
            <a:graphicData uri="http://schemas.microsoft.com/office/drawing/2010/slicer">
              <sle:slicer xmlns:sle="http://schemas.microsoft.com/office/drawing/2010/slicer" name="Personal"/>
            </a:graphicData>
          </a:graphic>
        </xdr:graphicFrame>
      </mc:Choice>
      <mc:Fallback xmlns="">
        <xdr:sp macro="" textlink="">
          <xdr:nvSpPr>
            <xdr:cNvPr id="0" name=""/>
            <xdr:cNvSpPr>
              <a:spLocks noTextEdit="1"/>
            </xdr:cNvSpPr>
          </xdr:nvSpPr>
          <xdr:spPr>
            <a:xfrm>
              <a:off x="19354800" y="320675"/>
              <a:ext cx="1402425" cy="5760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16</xdr:col>
      <xdr:colOff>187325</xdr:colOff>
      <xdr:row>4</xdr:row>
      <xdr:rowOff>177800</xdr:rowOff>
    </xdr:from>
    <xdr:to>
      <xdr:col>17</xdr:col>
      <xdr:colOff>494375</xdr:colOff>
      <xdr:row>7</xdr:row>
      <xdr:rowOff>188650</xdr:rowOff>
    </xdr:to>
    <mc:AlternateContent xmlns:mc="http://schemas.openxmlformats.org/markup-compatibility/2006" xmlns:sle15="http://schemas.microsoft.com/office/drawing/2012/slicer">
      <mc:Choice Requires="sle15">
        <xdr:graphicFrame macro="">
          <xdr:nvGraphicFramePr>
            <xdr:cNvPr id="59" name="Schulungen">
              <a:extLst>
                <a:ext uri="{FF2B5EF4-FFF2-40B4-BE49-F238E27FC236}">
                  <a16:creationId xmlns:a16="http://schemas.microsoft.com/office/drawing/2014/main" id="{464BA0E7-9168-F0D7-ACA5-A4148B52F962}"/>
                </a:ext>
              </a:extLst>
            </xdr:cNvPr>
            <xdr:cNvGraphicFramePr/>
          </xdr:nvGraphicFramePr>
          <xdr:xfrm>
            <a:off x="0" y="0"/>
            <a:ext cx="0" cy="0"/>
          </xdr:xfrm>
          <a:graphic>
            <a:graphicData uri="http://schemas.microsoft.com/office/drawing/2010/slicer">
              <sle:slicer xmlns:sle="http://schemas.microsoft.com/office/drawing/2010/slicer" name="Schulungen"/>
            </a:graphicData>
          </a:graphic>
        </xdr:graphicFrame>
      </mc:Choice>
      <mc:Fallback xmlns="">
        <xdr:sp macro="" textlink="">
          <xdr:nvSpPr>
            <xdr:cNvPr id="0" name=""/>
            <xdr:cNvSpPr>
              <a:spLocks noTextEdit="1"/>
            </xdr:cNvSpPr>
          </xdr:nvSpPr>
          <xdr:spPr>
            <a:xfrm>
              <a:off x="19361150" y="942975"/>
              <a:ext cx="1402425" cy="579175"/>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19</xdr:col>
      <xdr:colOff>196850</xdr:colOff>
      <xdr:row>1</xdr:row>
      <xdr:rowOff>82550</xdr:rowOff>
    </xdr:from>
    <xdr:to>
      <xdr:col>20</xdr:col>
      <xdr:colOff>505475</xdr:colOff>
      <xdr:row>4</xdr:row>
      <xdr:rowOff>96575</xdr:rowOff>
    </xdr:to>
    <mc:AlternateContent xmlns:mc="http://schemas.openxmlformats.org/markup-compatibility/2006" xmlns:sle15="http://schemas.microsoft.com/office/drawing/2012/slicer">
      <mc:Choice Requires="sle15">
        <xdr:graphicFrame macro="">
          <xdr:nvGraphicFramePr>
            <xdr:cNvPr id="67" name="Lieferanten-Management">
              <a:extLst>
                <a:ext uri="{FF2B5EF4-FFF2-40B4-BE49-F238E27FC236}">
                  <a16:creationId xmlns:a16="http://schemas.microsoft.com/office/drawing/2014/main" id="{4694EDCE-03FF-AE79-1583-1F7B35661F9A}"/>
                </a:ext>
              </a:extLst>
            </xdr:cNvPr>
            <xdr:cNvGraphicFramePr/>
          </xdr:nvGraphicFramePr>
          <xdr:xfrm>
            <a:off x="0" y="0"/>
            <a:ext cx="0" cy="0"/>
          </xdr:xfrm>
          <a:graphic>
            <a:graphicData uri="http://schemas.microsoft.com/office/drawing/2010/slicer">
              <sle:slicer xmlns:sle="http://schemas.microsoft.com/office/drawing/2010/slicer" name="Lieferanten-Management"/>
            </a:graphicData>
          </a:graphic>
        </xdr:graphicFrame>
      </mc:Choice>
      <mc:Fallback xmlns="">
        <xdr:sp macro="" textlink="">
          <xdr:nvSpPr>
            <xdr:cNvPr id="0" name=""/>
            <xdr:cNvSpPr>
              <a:spLocks noTextEdit="1"/>
            </xdr:cNvSpPr>
          </xdr:nvSpPr>
          <xdr:spPr>
            <a:xfrm>
              <a:off x="22659975" y="276225"/>
              <a:ext cx="1397650" cy="58235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19</xdr:col>
      <xdr:colOff>209546</xdr:colOff>
      <xdr:row>8</xdr:row>
      <xdr:rowOff>0</xdr:rowOff>
    </xdr:from>
    <xdr:to>
      <xdr:col>20</xdr:col>
      <xdr:colOff>521346</xdr:colOff>
      <xdr:row>11</xdr:row>
      <xdr:rowOff>7675</xdr:rowOff>
    </xdr:to>
    <mc:AlternateContent xmlns:mc="http://schemas.openxmlformats.org/markup-compatibility/2006" xmlns:sle15="http://schemas.microsoft.com/office/drawing/2012/slicer">
      <mc:Choice Requires="sle15">
        <xdr:graphicFrame macro="">
          <xdr:nvGraphicFramePr>
            <xdr:cNvPr id="69" name="Prüfmittel">
              <a:extLst>
                <a:ext uri="{FF2B5EF4-FFF2-40B4-BE49-F238E27FC236}">
                  <a16:creationId xmlns:a16="http://schemas.microsoft.com/office/drawing/2014/main" id="{93DEFFD2-7FE8-E413-3B5B-CCBFCDFCB966}"/>
                </a:ext>
              </a:extLst>
            </xdr:cNvPr>
            <xdr:cNvGraphicFramePr/>
          </xdr:nvGraphicFramePr>
          <xdr:xfrm>
            <a:off x="0" y="0"/>
            <a:ext cx="0" cy="0"/>
          </xdr:xfrm>
          <a:graphic>
            <a:graphicData uri="http://schemas.microsoft.com/office/drawing/2010/slicer">
              <sle:slicer xmlns:sle="http://schemas.microsoft.com/office/drawing/2010/slicer" name="Prüfmittel"/>
            </a:graphicData>
          </a:graphic>
        </xdr:graphicFrame>
      </mc:Choice>
      <mc:Fallback xmlns="">
        <xdr:sp macro="" textlink="">
          <xdr:nvSpPr>
            <xdr:cNvPr id="0" name=""/>
            <xdr:cNvSpPr>
              <a:spLocks noTextEdit="1"/>
            </xdr:cNvSpPr>
          </xdr:nvSpPr>
          <xdr:spPr>
            <a:xfrm>
              <a:off x="22669496" y="1524000"/>
              <a:ext cx="1410350" cy="58235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19</xdr:col>
      <xdr:colOff>200025</xdr:colOff>
      <xdr:row>11</xdr:row>
      <xdr:rowOff>28575</xdr:rowOff>
    </xdr:from>
    <xdr:to>
      <xdr:col>20</xdr:col>
      <xdr:colOff>511825</xdr:colOff>
      <xdr:row>14</xdr:row>
      <xdr:rowOff>26725</xdr:rowOff>
    </xdr:to>
    <mc:AlternateContent xmlns:mc="http://schemas.openxmlformats.org/markup-compatibility/2006" xmlns:sle15="http://schemas.microsoft.com/office/drawing/2012/slicer">
      <mc:Choice Requires="sle15">
        <xdr:graphicFrame macro="">
          <xdr:nvGraphicFramePr>
            <xdr:cNvPr id="70" name="Instandhaltung">
              <a:extLst>
                <a:ext uri="{FF2B5EF4-FFF2-40B4-BE49-F238E27FC236}">
                  <a16:creationId xmlns:a16="http://schemas.microsoft.com/office/drawing/2014/main" id="{DE0F952C-5A1B-8A75-6C9A-5C8B5CFE9D33}"/>
                </a:ext>
              </a:extLst>
            </xdr:cNvPr>
            <xdr:cNvGraphicFramePr/>
          </xdr:nvGraphicFramePr>
          <xdr:xfrm>
            <a:off x="0" y="0"/>
            <a:ext cx="0" cy="0"/>
          </xdr:xfrm>
          <a:graphic>
            <a:graphicData uri="http://schemas.microsoft.com/office/drawing/2010/slicer">
              <sle:slicer xmlns:sle="http://schemas.microsoft.com/office/drawing/2010/slicer" name="Instandhaltung"/>
            </a:graphicData>
          </a:graphic>
        </xdr:graphicFrame>
      </mc:Choice>
      <mc:Fallback xmlns="">
        <xdr:sp macro="" textlink="">
          <xdr:nvSpPr>
            <xdr:cNvPr id="0" name=""/>
            <xdr:cNvSpPr>
              <a:spLocks noTextEdit="1"/>
            </xdr:cNvSpPr>
          </xdr:nvSpPr>
          <xdr:spPr>
            <a:xfrm>
              <a:off x="22656800" y="2120900"/>
              <a:ext cx="1410350" cy="5760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19</xdr:col>
      <xdr:colOff>206375</xdr:colOff>
      <xdr:row>4</xdr:row>
      <xdr:rowOff>149225</xdr:rowOff>
    </xdr:from>
    <xdr:to>
      <xdr:col>20</xdr:col>
      <xdr:colOff>513426</xdr:colOff>
      <xdr:row>7</xdr:row>
      <xdr:rowOff>153725</xdr:rowOff>
    </xdr:to>
    <mc:AlternateContent xmlns:mc="http://schemas.openxmlformats.org/markup-compatibility/2006" xmlns:sle15="http://schemas.microsoft.com/office/drawing/2012/slicer">
      <mc:Choice Requires="sle15">
        <xdr:graphicFrame macro="">
          <xdr:nvGraphicFramePr>
            <xdr:cNvPr id="72" name="Lieferanten-Reklamationen">
              <a:extLst>
                <a:ext uri="{FF2B5EF4-FFF2-40B4-BE49-F238E27FC236}">
                  <a16:creationId xmlns:a16="http://schemas.microsoft.com/office/drawing/2014/main" id="{C92890A7-BDC9-7D9F-E469-2B765D9C34F7}"/>
                </a:ext>
              </a:extLst>
            </xdr:cNvPr>
            <xdr:cNvGraphicFramePr/>
          </xdr:nvGraphicFramePr>
          <xdr:xfrm>
            <a:off x="0" y="0"/>
            <a:ext cx="0" cy="0"/>
          </xdr:xfrm>
          <a:graphic>
            <a:graphicData uri="http://schemas.microsoft.com/office/drawing/2010/slicer">
              <sle:slicer xmlns:sle="http://schemas.microsoft.com/office/drawing/2010/slicer" name="Lieferanten-Reklamationen"/>
            </a:graphicData>
          </a:graphic>
        </xdr:graphicFrame>
      </mc:Choice>
      <mc:Fallback xmlns="">
        <xdr:sp macro="" textlink="">
          <xdr:nvSpPr>
            <xdr:cNvPr id="0" name=""/>
            <xdr:cNvSpPr>
              <a:spLocks noTextEdit="1"/>
            </xdr:cNvSpPr>
          </xdr:nvSpPr>
          <xdr:spPr>
            <a:xfrm>
              <a:off x="22666325" y="911225"/>
              <a:ext cx="1402426" cy="5760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24</xdr:col>
      <xdr:colOff>209550</xdr:colOff>
      <xdr:row>1</xdr:row>
      <xdr:rowOff>92075</xdr:rowOff>
    </xdr:from>
    <xdr:to>
      <xdr:col>25</xdr:col>
      <xdr:colOff>381650</xdr:colOff>
      <xdr:row>4</xdr:row>
      <xdr:rowOff>96575</xdr:rowOff>
    </xdr:to>
    <mc:AlternateContent xmlns:mc="http://schemas.openxmlformats.org/markup-compatibility/2006" xmlns:sle15="http://schemas.microsoft.com/office/drawing/2012/slicer">
      <mc:Choice Requires="sle15">
        <xdr:graphicFrame macro="">
          <xdr:nvGraphicFramePr>
            <xdr:cNvPr id="73" name="Prüfplanung">
              <a:extLst>
                <a:ext uri="{FF2B5EF4-FFF2-40B4-BE49-F238E27FC236}">
                  <a16:creationId xmlns:a16="http://schemas.microsoft.com/office/drawing/2014/main" id="{8A82DA19-8970-C699-5D9B-094440F19200}"/>
                </a:ext>
              </a:extLst>
            </xdr:cNvPr>
            <xdr:cNvGraphicFramePr/>
          </xdr:nvGraphicFramePr>
          <xdr:xfrm>
            <a:off x="0" y="0"/>
            <a:ext cx="0" cy="0"/>
          </xdr:xfrm>
          <a:graphic>
            <a:graphicData uri="http://schemas.microsoft.com/office/drawing/2010/slicer">
              <sle:slicer xmlns:sle="http://schemas.microsoft.com/office/drawing/2010/slicer" name="Prüfplanung"/>
            </a:graphicData>
          </a:graphic>
        </xdr:graphicFrame>
      </mc:Choice>
      <mc:Fallback xmlns="">
        <xdr:sp macro="" textlink="">
          <xdr:nvSpPr>
            <xdr:cNvPr id="0" name=""/>
            <xdr:cNvSpPr>
              <a:spLocks noTextEdit="1"/>
            </xdr:cNvSpPr>
          </xdr:nvSpPr>
          <xdr:spPr>
            <a:xfrm>
              <a:off x="28146375" y="282575"/>
              <a:ext cx="1400825" cy="5760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24</xdr:col>
      <xdr:colOff>222249</xdr:colOff>
      <xdr:row>4</xdr:row>
      <xdr:rowOff>142875</xdr:rowOff>
    </xdr:from>
    <xdr:to>
      <xdr:col>25</xdr:col>
      <xdr:colOff>397524</xdr:colOff>
      <xdr:row>7</xdr:row>
      <xdr:rowOff>150550</xdr:rowOff>
    </xdr:to>
    <mc:AlternateContent xmlns:mc="http://schemas.openxmlformats.org/markup-compatibility/2006" xmlns:sle15="http://schemas.microsoft.com/office/drawing/2012/slicer">
      <mc:Choice Requires="sle15">
        <xdr:graphicFrame macro="">
          <xdr:nvGraphicFramePr>
            <xdr:cNvPr id="74" name="Prüfdurchführung">
              <a:extLst>
                <a:ext uri="{FF2B5EF4-FFF2-40B4-BE49-F238E27FC236}">
                  <a16:creationId xmlns:a16="http://schemas.microsoft.com/office/drawing/2014/main" id="{5408B53F-D9B1-035D-8381-412AEFC4DD5F}"/>
                </a:ext>
              </a:extLst>
            </xdr:cNvPr>
            <xdr:cNvGraphicFramePr/>
          </xdr:nvGraphicFramePr>
          <xdr:xfrm>
            <a:off x="0" y="0"/>
            <a:ext cx="0" cy="0"/>
          </xdr:xfrm>
          <a:graphic>
            <a:graphicData uri="http://schemas.microsoft.com/office/drawing/2010/slicer">
              <sle:slicer xmlns:sle="http://schemas.microsoft.com/office/drawing/2010/slicer" name="Prüfdurchführung"/>
            </a:graphicData>
          </a:graphic>
        </xdr:graphicFrame>
      </mc:Choice>
      <mc:Fallback xmlns="">
        <xdr:sp macro="" textlink="">
          <xdr:nvSpPr>
            <xdr:cNvPr id="0" name=""/>
            <xdr:cNvSpPr>
              <a:spLocks noTextEdit="1"/>
            </xdr:cNvSpPr>
          </xdr:nvSpPr>
          <xdr:spPr>
            <a:xfrm>
              <a:off x="28155899" y="901700"/>
              <a:ext cx="1407175" cy="58235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27</xdr:col>
      <xdr:colOff>234950</xdr:colOff>
      <xdr:row>1</xdr:row>
      <xdr:rowOff>114300</xdr:rowOff>
    </xdr:from>
    <xdr:to>
      <xdr:col>28</xdr:col>
      <xdr:colOff>542000</xdr:colOff>
      <xdr:row>4</xdr:row>
      <xdr:rowOff>125150</xdr:rowOff>
    </xdr:to>
    <mc:AlternateContent xmlns:mc="http://schemas.openxmlformats.org/markup-compatibility/2006" xmlns:sle15="http://schemas.microsoft.com/office/drawing/2012/slicer">
      <mc:Choice Requires="sle15">
        <xdr:graphicFrame macro="">
          <xdr:nvGraphicFramePr>
            <xdr:cNvPr id="75" name="Projekt-management">
              <a:extLst>
                <a:ext uri="{FF2B5EF4-FFF2-40B4-BE49-F238E27FC236}">
                  <a16:creationId xmlns:a16="http://schemas.microsoft.com/office/drawing/2014/main" id="{93246301-A34B-2FD7-71B9-D4F5E4805214}"/>
                </a:ext>
              </a:extLst>
            </xdr:cNvPr>
            <xdr:cNvGraphicFramePr/>
          </xdr:nvGraphicFramePr>
          <xdr:xfrm>
            <a:off x="0" y="0"/>
            <a:ext cx="0" cy="0"/>
          </xdr:xfrm>
          <a:graphic>
            <a:graphicData uri="http://schemas.microsoft.com/office/drawing/2010/slicer">
              <sle:slicer xmlns:sle="http://schemas.microsoft.com/office/drawing/2010/slicer" name="Projekt-management"/>
            </a:graphicData>
          </a:graphic>
        </xdr:graphicFrame>
      </mc:Choice>
      <mc:Fallback xmlns="">
        <xdr:sp macro="" textlink="">
          <xdr:nvSpPr>
            <xdr:cNvPr id="0" name=""/>
            <xdr:cNvSpPr>
              <a:spLocks noTextEdit="1"/>
            </xdr:cNvSpPr>
          </xdr:nvSpPr>
          <xdr:spPr>
            <a:xfrm>
              <a:off x="31861125" y="304800"/>
              <a:ext cx="1402425" cy="579175"/>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27</xdr:col>
      <xdr:colOff>228600</xdr:colOff>
      <xdr:row>4</xdr:row>
      <xdr:rowOff>168275</xdr:rowOff>
    </xdr:from>
    <xdr:to>
      <xdr:col>28</xdr:col>
      <xdr:colOff>535651</xdr:colOff>
      <xdr:row>7</xdr:row>
      <xdr:rowOff>172775</xdr:rowOff>
    </xdr:to>
    <mc:AlternateContent xmlns:mc="http://schemas.openxmlformats.org/markup-compatibility/2006" xmlns:sle15="http://schemas.microsoft.com/office/drawing/2012/slicer">
      <mc:Choice Requires="sle15">
        <xdr:graphicFrame macro="">
          <xdr:nvGraphicFramePr>
            <xdr:cNvPr id="76" name="Requirements Engineering">
              <a:extLst>
                <a:ext uri="{FF2B5EF4-FFF2-40B4-BE49-F238E27FC236}">
                  <a16:creationId xmlns:a16="http://schemas.microsoft.com/office/drawing/2014/main" id="{6AF83C0F-6F16-E49E-1510-907A049A31B0}"/>
                </a:ext>
              </a:extLst>
            </xdr:cNvPr>
            <xdr:cNvGraphicFramePr/>
          </xdr:nvGraphicFramePr>
          <xdr:xfrm>
            <a:off x="0" y="0"/>
            <a:ext cx="0" cy="0"/>
          </xdr:xfrm>
          <a:graphic>
            <a:graphicData uri="http://schemas.microsoft.com/office/drawing/2010/slicer">
              <sle:slicer xmlns:sle="http://schemas.microsoft.com/office/drawing/2010/slicer" name="Requirements Engineering"/>
            </a:graphicData>
          </a:graphic>
        </xdr:graphicFrame>
      </mc:Choice>
      <mc:Fallback xmlns="">
        <xdr:sp macro="" textlink="">
          <xdr:nvSpPr>
            <xdr:cNvPr id="0" name=""/>
            <xdr:cNvSpPr>
              <a:spLocks noTextEdit="1"/>
            </xdr:cNvSpPr>
          </xdr:nvSpPr>
          <xdr:spPr>
            <a:xfrm>
              <a:off x="31851600" y="930275"/>
              <a:ext cx="1402426" cy="57600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27</xdr:col>
      <xdr:colOff>244475</xdr:colOff>
      <xdr:row>8</xdr:row>
      <xdr:rowOff>25400</xdr:rowOff>
    </xdr:from>
    <xdr:to>
      <xdr:col>28</xdr:col>
      <xdr:colOff>551526</xdr:colOff>
      <xdr:row>11</xdr:row>
      <xdr:rowOff>39425</xdr:rowOff>
    </xdr:to>
    <mc:AlternateContent xmlns:mc="http://schemas.openxmlformats.org/markup-compatibility/2006" xmlns:sle15="http://schemas.microsoft.com/office/drawing/2012/slicer">
      <mc:Choice Requires="sle15">
        <xdr:graphicFrame macro="">
          <xdr:nvGraphicFramePr>
            <xdr:cNvPr id="77" name="V&amp;V">
              <a:extLst>
                <a:ext uri="{FF2B5EF4-FFF2-40B4-BE49-F238E27FC236}">
                  <a16:creationId xmlns:a16="http://schemas.microsoft.com/office/drawing/2014/main" id="{7EE59EF3-78D2-4D05-EAF7-43CAFCF45EF5}"/>
                </a:ext>
              </a:extLst>
            </xdr:cNvPr>
            <xdr:cNvGraphicFramePr/>
          </xdr:nvGraphicFramePr>
          <xdr:xfrm>
            <a:off x="0" y="0"/>
            <a:ext cx="0" cy="0"/>
          </xdr:xfrm>
          <a:graphic>
            <a:graphicData uri="http://schemas.microsoft.com/office/drawing/2010/slicer">
              <sle:slicer xmlns:sle="http://schemas.microsoft.com/office/drawing/2010/slicer" name="V&amp;V"/>
            </a:graphicData>
          </a:graphic>
        </xdr:graphicFrame>
      </mc:Choice>
      <mc:Fallback xmlns="">
        <xdr:sp macro="" textlink="">
          <xdr:nvSpPr>
            <xdr:cNvPr id="0" name=""/>
            <xdr:cNvSpPr>
              <a:spLocks noTextEdit="1"/>
            </xdr:cNvSpPr>
          </xdr:nvSpPr>
          <xdr:spPr>
            <a:xfrm>
              <a:off x="31867475" y="1552575"/>
              <a:ext cx="1402426" cy="58235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27</xdr:col>
      <xdr:colOff>244475</xdr:colOff>
      <xdr:row>11</xdr:row>
      <xdr:rowOff>76200</xdr:rowOff>
    </xdr:from>
    <xdr:to>
      <xdr:col>28</xdr:col>
      <xdr:colOff>551525</xdr:colOff>
      <xdr:row>14</xdr:row>
      <xdr:rowOff>74350</xdr:rowOff>
    </xdr:to>
    <mc:AlternateContent xmlns:mc="http://schemas.openxmlformats.org/markup-compatibility/2006" xmlns:sle15="http://schemas.microsoft.com/office/drawing/2012/slicer">
      <mc:Choice Requires="sle15">
        <xdr:graphicFrame macro="">
          <xdr:nvGraphicFramePr>
            <xdr:cNvPr id="78" name="Risk Management">
              <a:extLst>
                <a:ext uri="{FF2B5EF4-FFF2-40B4-BE49-F238E27FC236}">
                  <a16:creationId xmlns:a16="http://schemas.microsoft.com/office/drawing/2014/main" id="{5932E54C-4E36-4386-DE9B-627144746CA3}"/>
                </a:ext>
              </a:extLst>
            </xdr:cNvPr>
            <xdr:cNvGraphicFramePr/>
          </xdr:nvGraphicFramePr>
          <xdr:xfrm>
            <a:off x="0" y="0"/>
            <a:ext cx="0" cy="0"/>
          </xdr:xfrm>
          <a:graphic>
            <a:graphicData uri="http://schemas.microsoft.com/office/drawing/2010/slicer">
              <sle:slicer xmlns:sle="http://schemas.microsoft.com/office/drawing/2010/slicer" name="Risk Management"/>
            </a:graphicData>
          </a:graphic>
        </xdr:graphicFrame>
      </mc:Choice>
      <mc:Fallback xmlns="">
        <xdr:sp macro="" textlink="">
          <xdr:nvSpPr>
            <xdr:cNvPr id="0" name=""/>
            <xdr:cNvSpPr>
              <a:spLocks noTextEdit="1"/>
            </xdr:cNvSpPr>
          </xdr:nvSpPr>
          <xdr:spPr>
            <a:xfrm>
              <a:off x="31867475" y="2171700"/>
              <a:ext cx="1402425" cy="569650"/>
            </a:xfrm>
            <a:prstGeom prst="rect">
              <a:avLst/>
            </a:prstGeom>
            <a:solidFill>
              <a:prstClr val="white"/>
            </a:solidFill>
            <a:ln w="1">
              <a:solidFill>
                <a:prstClr val="green"/>
              </a:solidFill>
            </a:ln>
          </xdr:spPr>
          <xdr:txBody>
            <a:bodyPr vertOverflow="clip" horzOverflow="clip"/>
            <a:lstStyle/>
            <a:p>
              <a:r>
                <a:rPr lang="de-CH"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oneCell">
    <xdr:from>
      <xdr:col>0</xdr:col>
      <xdr:colOff>292933</xdr:colOff>
      <xdr:row>0</xdr:row>
      <xdr:rowOff>95385</xdr:rowOff>
    </xdr:from>
    <xdr:to>
      <xdr:col>1</xdr:col>
      <xdr:colOff>2114980</xdr:colOff>
      <xdr:row>6</xdr:row>
      <xdr:rowOff>7054</xdr:rowOff>
    </xdr:to>
    <xdr:pic>
      <xdr:nvPicPr>
        <xdr:cNvPr id="7" name="Grafik 6">
          <a:extLst>
            <a:ext uri="{FF2B5EF4-FFF2-40B4-BE49-F238E27FC236}">
              <a16:creationId xmlns:a16="http://schemas.microsoft.com/office/drawing/2014/main" id="{3A16AA73-C00D-EBE9-4FAD-222AC2D9D76B}"/>
            </a:ext>
          </a:extLst>
        </xdr:cNvPr>
        <xdr:cNvPicPr>
          <a:picLocks noChangeAspect="1"/>
        </xdr:cNvPicPr>
      </xdr:nvPicPr>
      <xdr:blipFill>
        <a:blip xmlns:r="http://schemas.openxmlformats.org/officeDocument/2006/relationships" r:embed="rId1"/>
        <a:stretch>
          <a:fillRect/>
        </a:stretch>
      </xdr:blipFill>
      <xdr:spPr>
        <a:xfrm>
          <a:off x="292933" y="95385"/>
          <a:ext cx="2238325" cy="1054669"/>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DMS" xr10:uid="{0E8CED1F-7E6E-4821-888A-925509B241B1}" sourceName="DMS">
  <extLst>
    <x:ext xmlns:x15="http://schemas.microsoft.com/office/spreadsheetml/2010/11/main" uri="{2F2917AC-EB37-4324-AD4E-5DD8C200BD13}">
      <x15:tableSlicerCache tableId="1" column="8"/>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chulungen" xr10:uid="{BAECABE7-9F61-43EA-8E7B-376BC7705A52}" sourceName="Schulungen">
  <extLst>
    <x:ext xmlns:x15="http://schemas.microsoft.com/office/spreadsheetml/2010/11/main" uri="{2F2917AC-EB37-4324-AD4E-5DD8C200BD13}">
      <x15:tableSlicerCache tableId="1" column="19"/>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Lieferanten_Management" xr10:uid="{3D822730-AFE7-47A9-A3E8-E9D29E94B3B2}" sourceName="Lieferanten-Management">
  <extLst>
    <x:ext xmlns:x15="http://schemas.microsoft.com/office/spreadsheetml/2010/11/main" uri="{2F2917AC-EB37-4324-AD4E-5DD8C200BD13}">
      <x15:tableSlicerCache tableId="1" column="21"/>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üfmittel" xr10:uid="{AF507E87-89A5-4E7B-8A25-1D68957699A5}" sourceName="Prüfmittel">
  <extLst>
    <x:ext xmlns:x15="http://schemas.microsoft.com/office/spreadsheetml/2010/11/main" uri="{2F2917AC-EB37-4324-AD4E-5DD8C200BD13}">
      <x15:tableSlicerCache tableId="1" column="23"/>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Instandhaltung" xr10:uid="{1E3D5F73-B42B-4221-8C41-102C6999BE77}" sourceName="Instandhaltung">
  <extLst>
    <x:ext xmlns:x15="http://schemas.microsoft.com/office/spreadsheetml/2010/11/main" uri="{2F2917AC-EB37-4324-AD4E-5DD8C200BD13}">
      <x15:tableSlicerCache tableId="1" column="24"/>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Lieferanten_Reklamationen" xr10:uid="{99A7A5B3-691F-4ACF-A83F-6921FCCD69E2}" sourceName="Lieferanten-Reklamationen">
  <extLst>
    <x:ext xmlns:x15="http://schemas.microsoft.com/office/spreadsheetml/2010/11/main" uri="{2F2917AC-EB37-4324-AD4E-5DD8C200BD13}">
      <x15:tableSlicerCache tableId="1" column="22"/>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üfplanung" xr10:uid="{5343C66E-9665-41CB-B848-A843B32A3317}" sourceName="Prüfplanung">
  <extLst>
    <x:ext xmlns:x15="http://schemas.microsoft.com/office/spreadsheetml/2010/11/main" uri="{2F2917AC-EB37-4324-AD4E-5DD8C200BD13}">
      <x15:tableSlicerCache tableId="1" column="26"/>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üfdurchführung" xr10:uid="{D6FCC3F5-BAF6-4281-9E2A-F395422C692B}" sourceName="Prüfdurchführung">
  <extLst>
    <x:ext xmlns:x15="http://schemas.microsoft.com/office/spreadsheetml/2010/11/main" uri="{2F2917AC-EB37-4324-AD4E-5DD8C200BD13}">
      <x15:tableSlicerCache tableId="1" column="27"/>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ojekt_management" xr10:uid="{BD7902EF-8FAA-4139-AE5B-513A03A0CA7C}" sourceName="Projekt-management">
  <extLst>
    <x:ext xmlns:x15="http://schemas.microsoft.com/office/spreadsheetml/2010/11/main" uri="{2F2917AC-EB37-4324-AD4E-5DD8C200BD13}">
      <x15:tableSlicerCache tableId="1" column="29"/>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equirements_Engineering" xr10:uid="{C6E65915-BE40-420D-AA48-1359435483CF}" sourceName="Requirements Engineering">
  <extLst>
    <x:ext xmlns:x15="http://schemas.microsoft.com/office/spreadsheetml/2010/11/main" uri="{2F2917AC-EB37-4324-AD4E-5DD8C200BD13}">
      <x15:tableSlicerCache tableId="1" column="30"/>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V_V" xr10:uid="{18448E75-5316-4236-93DA-FC07730568F1}" sourceName="V&amp;V">
  <extLst>
    <x:ext xmlns:x15="http://schemas.microsoft.com/office/spreadsheetml/2010/11/main" uri="{2F2917AC-EB37-4324-AD4E-5DD8C200BD13}">
      <x15:tableSlicerCache tableId="1" column="3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QMS_Vorlagen" xr10:uid="{9A14E29C-DCFC-4B5F-96BA-D45B845D9FC9}" sourceName="QMS Vorlagen">
  <extLst>
    <x:ext xmlns:x15="http://schemas.microsoft.com/office/spreadsheetml/2010/11/main" uri="{2F2917AC-EB37-4324-AD4E-5DD8C200BD13}">
      <x15:tableSlicerCache tableId="1" column="9"/>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isk_Management" xr10:uid="{29F3A1C2-BB84-4A08-999E-77AB5C15B108}" sourceName="Risk Management">
  <extLst>
    <x:ext xmlns:x15="http://schemas.microsoft.com/office/spreadsheetml/2010/11/main" uri="{2F2917AC-EB37-4324-AD4E-5DD8C200BD13}">
      <x15:tableSlicerCache tableId="1" column="3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rozessvisualisierung" xr10:uid="{5A365B79-D19A-43D1-9E37-543229A8098C}" sourceName="Prozessvisualisierung">
  <extLst>
    <x:ext xmlns:x15="http://schemas.microsoft.com/office/spreadsheetml/2010/11/main" uri="{2F2917AC-EB37-4324-AD4E-5DD8C200BD13}">
      <x15:tableSlicerCache tableId="1" column="10"/>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eklamationen" xr10:uid="{1A8B7490-99B8-4AC9-9F85-BF12A46B8B6A}" sourceName="Reklamationen">
  <extLst>
    <x:ext xmlns:x15="http://schemas.microsoft.com/office/spreadsheetml/2010/11/main" uri="{2F2917AC-EB37-4324-AD4E-5DD8C200BD13}">
      <x15:tableSlicerCache tableId="1" column="1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CAPA" xr10:uid="{3A380562-4957-4EE6-8CAF-A9D5A30396FA}" sourceName="CAPA">
  <extLst>
    <x:ext xmlns:x15="http://schemas.microsoft.com/office/spreadsheetml/2010/11/main" uri="{2F2917AC-EB37-4324-AD4E-5DD8C200BD13}">
      <x15:tableSlicerCache tableId="1" column="13"/>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Risiko" xr10:uid="{F35AC7D2-C083-4291-8F7C-F76149DA6A63}" sourceName="Risiko">
  <extLst>
    <x:ext xmlns:x15="http://schemas.microsoft.com/office/spreadsheetml/2010/11/main" uri="{2F2917AC-EB37-4324-AD4E-5DD8C200BD13}">
      <x15:tableSlicerCache tableId="1" column="14"/>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Audit" xr10:uid="{6E843D0F-5094-44B5-A1F3-D85902D2057E}" sourceName="Audit">
  <extLst>
    <x:ext xmlns:x15="http://schemas.microsoft.com/office/spreadsheetml/2010/11/main" uri="{2F2917AC-EB37-4324-AD4E-5DD8C200BD13}">
      <x15:tableSlicerCache tableId="1" column="15"/>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Änderungen" xr10:uid="{69B4201D-9E24-49B1-B16D-4F380D5843C1}" sourceName="Änderungen">
  <extLst>
    <x:ext xmlns:x15="http://schemas.microsoft.com/office/spreadsheetml/2010/11/main" uri="{2F2917AC-EB37-4324-AD4E-5DD8C200BD13}">
      <x15:tableSlicerCache tableId="1" column="16"/>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Personal" xr10:uid="{A323DC3D-4172-4AD6-B07C-E25079CDBAFB}" sourceName="Personal">
  <extLst>
    <x:ext xmlns:x15="http://schemas.microsoft.com/office/spreadsheetml/2010/11/main" uri="{2F2917AC-EB37-4324-AD4E-5DD8C200BD13}">
      <x15:tableSlicerCache tableId="1" column="18"/>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MS" xr10:uid="{5B395F25-559D-47EC-9720-B7743AE500B9}" cache="Datenschnitt_DMS" caption="DMS" columnCount="2" style="SlicerStyleLight2" rowHeight="180000"/>
  <slicer name="QMS Vorlagen" xr10:uid="{69F89A99-1DE7-4217-A254-D370E18AB9C9}" cache="Datenschnitt_QMS_Vorlagen" caption="QMS Vorlagen" columnCount="2" style="SlicerStyleLight2" rowHeight="180000"/>
  <slicer name="Prozessvisualisierung" xr10:uid="{D73CDCD9-F3AE-46F7-960C-73F8E46E7311}" cache="Datenschnitt_Prozessvisualisierung" caption="Prozessvisualisierung" columnCount="2" style="SlicerStyleLight2" rowHeight="180000"/>
  <slicer name="Reklamationen" xr10:uid="{76275ED9-F674-4AFB-9F40-A9B054A25F23}" cache="Datenschnitt_Reklamationen" caption="Reklamationen" columnCount="2" style="SlicerStyleLight4" rowHeight="220133"/>
  <slicer name="CAPA" xr10:uid="{ABC6E265-7205-4389-8450-F6F8EB0FF9B5}" cache="Datenschnitt_CAPA" caption="CAPA" columnCount="2" style="SlicerStyleLight4" rowHeight="220133"/>
  <slicer name="Risiko" xr10:uid="{2AF39F8B-F222-4617-99AC-6E2740957A67}" cache="Datenschnitt_Risiko" caption="Risiko" columnCount="2" style="SlicerStyleLight4" rowHeight="220133"/>
  <slicer name="Audit" xr10:uid="{F5C7D895-92CD-4F56-8A63-99D8A4F7BDD5}" cache="Datenschnitt_Audit" caption="Audit" columnCount="2" style="SlicerStyleLight4" rowHeight="220133"/>
  <slicer name="Änderungen" xr10:uid="{CE327D8D-5EBC-483A-9184-3D4B4C0BCCE1}" cache="Datenschnitt_Änderungen" caption="Änderungen" columnCount="2" style="SlicerStyleLight4" rowHeight="220133"/>
  <slicer name="Personal" xr10:uid="{FDAECD1F-C3F5-4CD2-A3E6-A32D136B6263}" cache="Datenschnitt_Personal" caption="Personal" columnCount="2" style="SlicerStyleLight5" rowHeight="180000"/>
  <slicer name="Schulungen" xr10:uid="{13D4DBE6-0EC7-40CF-BA73-213216B19BB9}" cache="Datenschnitt_Schulungen" caption="Schulungen" columnCount="2" style="SlicerStyleLight5" rowHeight="180000"/>
  <slicer name="Lieferanten-Management" xr10:uid="{5C497B0F-3A3C-4207-8186-9AD48066A5F0}" cache="Datenschnitt_Lieferanten_Management" caption="Lieferanten-Management" columnCount="2" style="Datenschnittformat 2" rowHeight="180000"/>
  <slicer name="Prüfmittel" xr10:uid="{06DCFFC6-F364-48F7-A8A0-332E96D46571}" cache="Datenschnitt_Prüfmittel" caption="Prüfmittel" columnCount="2" style="Datenschnittformat 2" rowHeight="180000"/>
  <slicer name="Instandhaltung" xr10:uid="{EA72A1E2-1F30-4234-8A10-EE1521C99897}" cache="Datenschnitt_Instandhaltung" caption="Instandhaltung" columnCount="2" style="Datenschnittformat 2" rowHeight="180000"/>
  <slicer name="Lieferanten-Reklamationen" xr10:uid="{A0C710D8-EAA9-4936-AFE2-C1F6003AFA02}" cache="Datenschnitt_Lieferanten_Reklamationen" caption="Lieferanten-Reklamationen" columnCount="2" style="Datenschnittformat 2" rowHeight="180000"/>
  <slicer name="Prüfplanung" xr10:uid="{89DC32ED-0D94-4B5F-BE03-F9AC0292B674}" cache="Datenschnitt_Prüfplanung" caption="Prüfplanung" columnCount="2" style="SlicerStyleLight6" rowHeight="180000"/>
  <slicer name="Prüfdurchführung" xr10:uid="{42BC3A2E-B520-4C74-97E2-DA133E84F6BD}" cache="Datenschnitt_Prüfdurchführung" caption="Prüfdurchführung" columnCount="2" style="SlicerStyleLight6" rowHeight="180000"/>
  <slicer name="Projekt-management" xr10:uid="{7611B58D-B055-4E40-B08C-59C7980235C3}" cache="Datenschnitt_Projekt_management" caption="Projekt-management" columnCount="2" style="SlicerStyleLight3" rowHeight="180000"/>
  <slicer name="Requirements Engineering" xr10:uid="{86ABCF05-8023-4664-AA93-92D51403C43C}" cache="Datenschnitt_Requirements_Engineering" caption="Requirements Engineering" columnCount="2" style="SlicerStyleLight3" rowHeight="180000"/>
  <slicer name="V&amp;V" xr10:uid="{2C6B0463-ABB6-4100-B0B2-B8B657F1E376}" cache="Datenschnitt_V_V" caption="V&amp;V" columnCount="2" style="SlicerStyleLight3" rowHeight="180000"/>
  <slicer name="Risk Management" xr10:uid="{6D596D89-F317-4181-9D9E-BDD12543978D}" cache="Datenschnitt_Risk_Management" caption="Risk Management" columnCount="2" style="SlicerStyleLight3" rowHeight="18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C04F3D-F36A-4B53-A8EE-7457D5B934CC}" name="tbl_MarketOverview" displayName="tbl_MarketOverview" ref="A17:AF90" totalsRowShown="0" headerRowDxfId="43" headerRowCellStyle="Akzent3">
  <autoFilter ref="A17:AF90" xr:uid="{C0C04F3D-F36A-4B53-A8EE-7457D5B934CC}"/>
  <sortState xmlns:xlrd2="http://schemas.microsoft.com/office/spreadsheetml/2017/richdata2" ref="A18:AF90">
    <sortCondition ref="B17:B90"/>
  </sortState>
  <tableColumns count="32">
    <tableColumn id="1" xr3:uid="{338243F4-D759-46B1-ADF8-4CA7F1606DB9}" name="Nr."/>
    <tableColumn id="2" xr3:uid="{A024D874-ED7E-4A75-88C0-B8056F9E85FB}" name="Produkt" dataDxfId="42"/>
    <tableColumn id="3" xr3:uid="{BE1AE22B-34B0-4D4D-A801-F6B3B261E591}" name="Plattform" dataDxfId="41"/>
    <tableColumn id="4" xr3:uid="{8D92A8DD-0694-4275-B9DD-E88E92398DD3}" name="Land" dataDxfId="40"/>
    <tableColumn id="5" xr3:uid="{418D8D90-1923-454F-9C0D-C0D02FE77999}" name="Firma" dataDxfId="39"/>
    <tableColumn id="6" xr3:uid="{FCA81AFF-C713-4F44-8C88-4647DAF573C4}" name="Link" dataDxfId="38"/>
    <tableColumn id="7" xr3:uid="{102E337D-9086-451E-A45A-AC4E3600228E}" name="QMS"/>
    <tableColumn id="8" xr3:uid="{9EAE7221-0F8F-483C-922B-E8CA2718E678}" name="DMS" dataDxfId="37"/>
    <tableColumn id="9" xr3:uid="{7855BC7D-208A-49A2-8484-778DB95C363D}" name="QMS Vorlagen" dataDxfId="36"/>
    <tableColumn id="10" xr3:uid="{2BEAF9B2-2DF1-41C2-9260-B0E1F0F06CDA}" name="Prozessvisualisierung" dataDxfId="35"/>
    <tableColumn id="11" xr3:uid="{E1ADD9F4-0FE7-4B82-9CB3-3E64DBECC465}" name="QM-Kernmodule"/>
    <tableColumn id="12" xr3:uid="{60D98EEB-7B6A-434A-AE55-84DC4AC4027D}" name="Reklamationen" dataDxfId="34"/>
    <tableColumn id="13" xr3:uid="{4C0B3D46-A541-4871-AD64-6614DE37EA12}" name="CAPA" dataDxfId="33"/>
    <tableColumn id="14" xr3:uid="{C1BA64D6-056C-42C9-9CA4-021F6ADC5DC2}" name="Risiko" dataDxfId="32"/>
    <tableColumn id="15" xr3:uid="{06E63A8A-9300-4A3F-B569-3A2723171BC1}" name="Audit" dataDxfId="31"/>
    <tableColumn id="16" xr3:uid="{DA0383EB-D3F1-4F3B-9CD9-435E0C36AF3D}" name="Änderungen" dataDxfId="30"/>
    <tableColumn id="17" xr3:uid="{E05F2BB3-7107-4109-BE02-F9BFBAC5217C}" name="HR"/>
    <tableColumn id="18" xr3:uid="{F8E4C3AE-EA9C-4B4D-906E-237E3DDF8F9E}" name="Personal" dataDxfId="29"/>
    <tableColumn id="19" xr3:uid="{3343C4D0-2849-4FF6-9EA0-0738A0C2E477}" name="Schulungen" dataDxfId="28"/>
    <tableColumn id="20" xr3:uid="{29C3F4D6-7797-4D86-9D37-6F7D48CA8CC7}" name="Produktion /SCM"/>
    <tableColumn id="21" xr3:uid="{80088D39-2F4F-436A-A39B-C53424F34992}" name="Lieferanten-Management" dataDxfId="27"/>
    <tableColumn id="22" xr3:uid="{6FF75DB6-0DD9-485D-BCBB-73F2C1613740}" name="Lieferanten-Reklamationen" dataDxfId="26"/>
    <tableColumn id="23" xr3:uid="{270F094D-8518-47FA-B4FD-9F9508C4909B}" name="Prüfmittel" dataDxfId="25"/>
    <tableColumn id="24" xr3:uid="{A31DD28E-750A-4252-B6C7-5FD7E03A67BD}" name="Instandhaltung" dataDxfId="24"/>
    <tableColumn id="25" xr3:uid="{3BCEDB41-BFB0-4BFE-A03A-4DE647557B65}" name="Qualitätsprüfung"/>
    <tableColumn id="26" xr3:uid="{5759BDA3-9B0E-4E94-88DD-B2593B4A0E7F}" name="Prüfplanung"/>
    <tableColumn id="27" xr3:uid="{D912A3C9-6DF4-4729-AF5E-F2C7AA66870C}" name="Prüfdurchführung"/>
    <tableColumn id="28" xr3:uid="{0FCD1B5A-F40C-4A15-B1A4-938F3066C601}" name="ALM /Design Control"/>
    <tableColumn id="29" xr3:uid="{F62D1E87-9071-4C26-B467-BCE0D2CF80A3}" name="Projekt-management" dataDxfId="23"/>
    <tableColumn id="30" xr3:uid="{78D5469B-EA23-42D9-85AA-00257BF9113B}" name="Requirements Engineering" dataDxfId="22"/>
    <tableColumn id="31" xr3:uid="{E8DBA46B-3380-44C4-ADBA-DE141AE7E75F}" name="V&amp;V" dataDxfId="21"/>
    <tableColumn id="32" xr3:uid="{BA6FDE0A-086C-4A66-BDC1-D5D2251A763B}" name="Risk Management" dataDxfId="20"/>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ur03.safelinks.protection.outlook.com/?url=http%3A%2F%2Fwww.inmedis.ch%2F&amp;data=05%7C02%7Cl.schumann%40inmedis.ch%7C022874a131984bd7269908dec8715a6a%7Cdc94445faec7432dbb4f92044bf670eb%7C0%7C0%7C639168586337314757%7CUnknown%7CTWFpbGZsb3d8eyJFbXB0eU1hcGkiOnRydWUsIlYiOiIwLjAuMDAwMCIsIlAiOiJXaW4zMiIsIkFOIjoiTWFpbCIsIldUIjoyfQ%3D%3D%7C0%7C%7C%7C&amp;sdata=Xg6lNFSMh896CPFpvh9rGA3gu9Ld3wrknG%2FwRjarMgE%3D&amp;reserved=0" TargetMode="Externa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48FBB-E546-4934-95E9-FD499BE90819}">
  <dimension ref="A1:AF90"/>
  <sheetViews>
    <sheetView showGridLines="0" tabSelected="1" zoomScale="90" zoomScaleNormal="90" workbookViewId="0">
      <selection activeCell="E7" sqref="E7"/>
    </sheetView>
  </sheetViews>
  <sheetFormatPr baseColWidth="10" defaultRowHeight="15" customHeight="1" x14ac:dyDescent="0.25"/>
  <cols>
    <col min="1" max="1" width="6" bestFit="1" customWidth="1"/>
    <col min="2" max="2" width="45.26953125" bestFit="1" customWidth="1"/>
    <col min="3" max="3" width="17.81640625" customWidth="1"/>
    <col min="4" max="4" width="8.81640625" customWidth="1"/>
    <col min="5" max="5" width="31.453125" customWidth="1"/>
    <col min="6" max="6" width="7.1796875" style="16" customWidth="1"/>
    <col min="7" max="11" width="15.54296875" customWidth="1"/>
    <col min="12" max="12" width="16.54296875" customWidth="1"/>
    <col min="13" max="24" width="15.54296875" customWidth="1"/>
    <col min="25" max="27" width="17.54296875" customWidth="1"/>
    <col min="28" max="32" width="15.54296875" customWidth="1"/>
  </cols>
  <sheetData>
    <row r="1" spans="2:6" s="2" customFormat="1" ht="15" customHeight="1" x14ac:dyDescent="0.25">
      <c r="F1" s="12"/>
    </row>
    <row r="2" spans="2:6" s="2" customFormat="1" ht="15" customHeight="1" x14ac:dyDescent="0.25">
      <c r="F2" s="12"/>
    </row>
    <row r="3" spans="2:6" s="2" customFormat="1" ht="15" customHeight="1" x14ac:dyDescent="0.25">
      <c r="B3" s="1"/>
      <c r="F3" s="12"/>
    </row>
    <row r="4" spans="2:6" s="2" customFormat="1" ht="15" customHeight="1" x14ac:dyDescent="0.25">
      <c r="B4" s="13"/>
      <c r="F4" s="12"/>
    </row>
    <row r="5" spans="2:6" s="2" customFormat="1" ht="15" customHeight="1" x14ac:dyDescent="0.25">
      <c r="B5" s="13"/>
      <c r="F5" s="12"/>
    </row>
    <row r="6" spans="2:6" s="2" customFormat="1" ht="15" customHeight="1" x14ac:dyDescent="0.25">
      <c r="B6" s="13"/>
      <c r="F6" s="12"/>
    </row>
    <row r="7" spans="2:6" s="2" customFormat="1" ht="15" customHeight="1" x14ac:dyDescent="0.25">
      <c r="B7" s="1" t="s">
        <v>0</v>
      </c>
      <c r="F7" s="12"/>
    </row>
    <row r="8" spans="2:6" s="2" customFormat="1" ht="15" customHeight="1" x14ac:dyDescent="0.25">
      <c r="B8" s="13" t="s">
        <v>1</v>
      </c>
      <c r="F8" s="12"/>
    </row>
    <row r="9" spans="2:6" s="2" customFormat="1" ht="15" customHeight="1" x14ac:dyDescent="0.25">
      <c r="B9" s="13" t="s">
        <v>2</v>
      </c>
      <c r="F9" s="12"/>
    </row>
    <row r="10" spans="2:6" s="2" customFormat="1" ht="15" customHeight="1" x14ac:dyDescent="0.25">
      <c r="B10" s="13" t="s">
        <v>3</v>
      </c>
      <c r="F10" s="12"/>
    </row>
    <row r="11" spans="2:6" s="2" customFormat="1" ht="15" customHeight="1" x14ac:dyDescent="0.25">
      <c r="B11" s="13" t="s">
        <v>195</v>
      </c>
      <c r="F11" s="12"/>
    </row>
    <row r="12" spans="2:6" s="2" customFormat="1" ht="15" customHeight="1" x14ac:dyDescent="0.25">
      <c r="B12" s="17" t="s">
        <v>196</v>
      </c>
      <c r="F12" s="12"/>
    </row>
    <row r="13" spans="2:6" s="2" customFormat="1" ht="15" customHeight="1" x14ac:dyDescent="0.25">
      <c r="B13" s="13"/>
      <c r="F13" s="12"/>
    </row>
    <row r="14" spans="2:6" s="2" customFormat="1" ht="15" customHeight="1" x14ac:dyDescent="0.25">
      <c r="B14" s="13"/>
      <c r="F14" s="12"/>
    </row>
    <row r="15" spans="2:6" s="2" customFormat="1" ht="15" customHeight="1" x14ac:dyDescent="0.25">
      <c r="B15" s="17"/>
      <c r="F15" s="12"/>
    </row>
    <row r="16" spans="2:6" s="2" customFormat="1" ht="15" customHeight="1" x14ac:dyDescent="0.25">
      <c r="F16" s="12"/>
    </row>
    <row r="17" spans="1:32" s="2" customFormat="1" ht="15" customHeight="1" x14ac:dyDescent="0.25">
      <c r="A17" s="3" t="s">
        <v>4</v>
      </c>
      <c r="B17" s="3" t="s">
        <v>5</v>
      </c>
      <c r="C17" s="3" t="s">
        <v>6</v>
      </c>
      <c r="D17" s="3" t="s">
        <v>7</v>
      </c>
      <c r="E17" s="4" t="s">
        <v>8</v>
      </c>
      <c r="F17" s="4" t="s">
        <v>9</v>
      </c>
      <c r="G17" s="5" t="s">
        <v>10</v>
      </c>
      <c r="H17" s="6" t="s">
        <v>11</v>
      </c>
      <c r="I17" s="6" t="s">
        <v>12</v>
      </c>
      <c r="J17" s="6" t="s">
        <v>13</v>
      </c>
      <c r="K17" s="7" t="s">
        <v>14</v>
      </c>
      <c r="L17" s="7" t="s">
        <v>15</v>
      </c>
      <c r="M17" s="7" t="s">
        <v>16</v>
      </c>
      <c r="N17" s="7" t="s">
        <v>17</v>
      </c>
      <c r="O17" s="7" t="s">
        <v>18</v>
      </c>
      <c r="P17" s="7" t="s">
        <v>19</v>
      </c>
      <c r="Q17" s="8" t="s">
        <v>20</v>
      </c>
      <c r="R17" s="8" t="s">
        <v>21</v>
      </c>
      <c r="S17" s="8" t="s">
        <v>22</v>
      </c>
      <c r="T17" s="9" t="s">
        <v>23</v>
      </c>
      <c r="U17" s="9" t="s">
        <v>24</v>
      </c>
      <c r="V17" s="9" t="s">
        <v>25</v>
      </c>
      <c r="W17" s="9" t="s">
        <v>26</v>
      </c>
      <c r="X17" s="9" t="s">
        <v>27</v>
      </c>
      <c r="Y17" s="10" t="s">
        <v>28</v>
      </c>
      <c r="Z17" s="10" t="s">
        <v>29</v>
      </c>
      <c r="AA17" s="10" t="s">
        <v>30</v>
      </c>
      <c r="AB17" s="11" t="s">
        <v>31</v>
      </c>
      <c r="AC17" s="11" t="s">
        <v>177</v>
      </c>
      <c r="AD17" s="11" t="s">
        <v>32</v>
      </c>
      <c r="AE17" s="11" t="s">
        <v>165</v>
      </c>
      <c r="AF17" s="11" t="s">
        <v>33</v>
      </c>
    </row>
    <row r="18" spans="1:32" ht="15" customHeight="1" x14ac:dyDescent="0.25">
      <c r="A18">
        <v>55</v>
      </c>
      <c r="B18" t="s">
        <v>34</v>
      </c>
      <c r="C18" t="s">
        <v>35</v>
      </c>
      <c r="D18" t="s">
        <v>36</v>
      </c>
      <c r="E18" t="s">
        <v>37</v>
      </c>
      <c r="F18" s="14" t="str">
        <f>HYPERLINK("https://pscsoftware.com/software/ace/", "Link")</f>
        <v>Link</v>
      </c>
      <c r="G18">
        <v>1</v>
      </c>
      <c r="H18" t="s">
        <v>38</v>
      </c>
      <c r="I18" t="s">
        <v>38</v>
      </c>
      <c r="J18" t="s">
        <v>38</v>
      </c>
      <c r="K18">
        <v>1</v>
      </c>
      <c r="L18" t="s">
        <v>38</v>
      </c>
      <c r="M18" t="s">
        <v>38</v>
      </c>
      <c r="N18" t="s">
        <v>38</v>
      </c>
      <c r="O18" t="s">
        <v>38</v>
      </c>
      <c r="P18" t="s">
        <v>38</v>
      </c>
      <c r="Q18">
        <v>0.5</v>
      </c>
      <c r="R18" t="s">
        <v>39</v>
      </c>
      <c r="S18" t="s">
        <v>38</v>
      </c>
      <c r="T18">
        <v>0.75</v>
      </c>
      <c r="U18" t="s">
        <v>38</v>
      </c>
      <c r="V18" t="s">
        <v>39</v>
      </c>
      <c r="W18" t="s">
        <v>38</v>
      </c>
      <c r="X18" t="s">
        <v>38</v>
      </c>
      <c r="Y18">
        <v>0</v>
      </c>
      <c r="Z18" t="s">
        <v>39</v>
      </c>
      <c r="AA18" t="s">
        <v>39</v>
      </c>
      <c r="AB18">
        <v>0.5</v>
      </c>
      <c r="AC18" t="s">
        <v>38</v>
      </c>
      <c r="AD18" t="s">
        <v>39</v>
      </c>
      <c r="AE18" t="s">
        <v>38</v>
      </c>
      <c r="AF18" t="s">
        <v>39</v>
      </c>
    </row>
    <row r="19" spans="1:32" ht="15" customHeight="1" x14ac:dyDescent="0.25">
      <c r="A19">
        <v>91</v>
      </c>
      <c r="B19" t="s">
        <v>172</v>
      </c>
      <c r="C19" t="s">
        <v>35</v>
      </c>
      <c r="D19" t="s">
        <v>36</v>
      </c>
      <c r="E19" t="s">
        <v>172</v>
      </c>
      <c r="F19" s="14" t="str">
        <f>HYPERLINK("https://adaptiveqms.com//", "Link")</f>
        <v>Link</v>
      </c>
      <c r="G19">
        <v>0.66666666666666663</v>
      </c>
      <c r="H19" t="s">
        <v>38</v>
      </c>
      <c r="I19" t="s">
        <v>38</v>
      </c>
      <c r="J19" t="s">
        <v>39</v>
      </c>
      <c r="K19">
        <v>0</v>
      </c>
      <c r="L19" t="s">
        <v>39</v>
      </c>
      <c r="M19" t="s">
        <v>39</v>
      </c>
      <c r="N19" t="s">
        <v>39</v>
      </c>
      <c r="O19" t="s">
        <v>39</v>
      </c>
      <c r="P19" t="s">
        <v>39</v>
      </c>
      <c r="Q19">
        <v>1</v>
      </c>
      <c r="R19" t="s">
        <v>38</v>
      </c>
      <c r="S19" t="s">
        <v>38</v>
      </c>
      <c r="T19">
        <v>0</v>
      </c>
      <c r="U19" t="s">
        <v>39</v>
      </c>
      <c r="V19" t="s">
        <v>39</v>
      </c>
      <c r="W19" t="s">
        <v>39</v>
      </c>
      <c r="X19" t="s">
        <v>39</v>
      </c>
      <c r="Y19">
        <v>0</v>
      </c>
      <c r="Z19" t="s">
        <v>39</v>
      </c>
      <c r="AA19" t="s">
        <v>39</v>
      </c>
      <c r="AB19">
        <v>0</v>
      </c>
      <c r="AC19" t="s">
        <v>39</v>
      </c>
      <c r="AD19" t="s">
        <v>39</v>
      </c>
      <c r="AE19" t="s">
        <v>39</v>
      </c>
      <c r="AF19" t="s">
        <v>39</v>
      </c>
    </row>
    <row r="20" spans="1:32" ht="15" customHeight="1" x14ac:dyDescent="0.25">
      <c r="A20">
        <v>95</v>
      </c>
      <c r="B20" t="s">
        <v>180</v>
      </c>
      <c r="C20" t="s">
        <v>40</v>
      </c>
      <c r="D20" t="s">
        <v>166</v>
      </c>
      <c r="E20" t="s">
        <v>181</v>
      </c>
      <c r="F20" s="14" t="str">
        <f>HYPERLINK("https://www.aiti.at/en/", "Link")</f>
        <v>Link</v>
      </c>
      <c r="G20">
        <v>0.66666666666666663</v>
      </c>
      <c r="H20" t="s">
        <v>38</v>
      </c>
      <c r="I20" t="s">
        <v>39</v>
      </c>
      <c r="J20" t="s">
        <v>38</v>
      </c>
      <c r="L20" t="s">
        <v>39</v>
      </c>
      <c r="M20" t="s">
        <v>39</v>
      </c>
      <c r="N20" t="s">
        <v>39</v>
      </c>
      <c r="O20" t="s">
        <v>39</v>
      </c>
      <c r="P20" t="s">
        <v>39</v>
      </c>
      <c r="Q20">
        <v>0.5</v>
      </c>
      <c r="R20" t="s">
        <v>39</v>
      </c>
      <c r="S20" t="s">
        <v>38</v>
      </c>
      <c r="U20" t="s">
        <v>39</v>
      </c>
      <c r="V20" t="s">
        <v>39</v>
      </c>
      <c r="W20" t="s">
        <v>39</v>
      </c>
      <c r="X20" t="s">
        <v>39</v>
      </c>
      <c r="Z20" t="s">
        <v>39</v>
      </c>
      <c r="AA20" t="s">
        <v>39</v>
      </c>
      <c r="AC20" t="s">
        <v>39</v>
      </c>
      <c r="AD20" t="s">
        <v>39</v>
      </c>
      <c r="AE20" t="s">
        <v>39</v>
      </c>
      <c r="AF20" t="s">
        <v>39</v>
      </c>
    </row>
    <row r="21" spans="1:32" ht="15" customHeight="1" x14ac:dyDescent="0.25">
      <c r="A21">
        <v>66</v>
      </c>
      <c r="B21" t="s">
        <v>192</v>
      </c>
      <c r="C21" t="s">
        <v>40</v>
      </c>
      <c r="D21" t="s">
        <v>41</v>
      </c>
      <c r="E21" t="s">
        <v>42</v>
      </c>
      <c r="F21" s="14" t="str">
        <f>HYPERLINK("https://www.aligned.ch/", "Link")</f>
        <v>Link</v>
      </c>
      <c r="G21">
        <v>0.66666666666666663</v>
      </c>
      <c r="H21" t="s">
        <v>38</v>
      </c>
      <c r="I21" t="s">
        <v>38</v>
      </c>
      <c r="J21" t="s">
        <v>39</v>
      </c>
      <c r="K21">
        <v>100</v>
      </c>
      <c r="L21" t="s">
        <v>38</v>
      </c>
      <c r="M21" t="s">
        <v>38</v>
      </c>
      <c r="N21" t="s">
        <v>38</v>
      </c>
      <c r="O21" t="s">
        <v>38</v>
      </c>
      <c r="P21" t="s">
        <v>38</v>
      </c>
      <c r="Q21">
        <v>0.5</v>
      </c>
      <c r="R21" t="s">
        <v>39</v>
      </c>
      <c r="S21" t="s">
        <v>38</v>
      </c>
      <c r="T21">
        <v>0.5</v>
      </c>
      <c r="U21" t="s">
        <v>38</v>
      </c>
      <c r="V21" t="s">
        <v>39</v>
      </c>
      <c r="W21" t="s">
        <v>38</v>
      </c>
      <c r="X21" t="s">
        <v>39</v>
      </c>
      <c r="Y21">
        <v>1</v>
      </c>
      <c r="Z21" t="s">
        <v>38</v>
      </c>
      <c r="AA21" t="s">
        <v>38</v>
      </c>
      <c r="AB21">
        <v>0.75</v>
      </c>
      <c r="AC21" t="s">
        <v>39</v>
      </c>
      <c r="AD21" t="s">
        <v>38</v>
      </c>
      <c r="AE21" t="s">
        <v>38</v>
      </c>
      <c r="AF21" t="s">
        <v>38</v>
      </c>
    </row>
    <row r="22" spans="1:32" ht="15" customHeight="1" x14ac:dyDescent="0.25">
      <c r="A22">
        <v>58</v>
      </c>
      <c r="B22" t="s">
        <v>43</v>
      </c>
      <c r="C22" t="s">
        <v>35</v>
      </c>
      <c r="D22" t="s">
        <v>36</v>
      </c>
      <c r="E22" t="s">
        <v>44</v>
      </c>
      <c r="F22" s="14" t="str">
        <f>HYPERLINK("https://www.arenasolutions.com/platform/qms/", "Link")</f>
        <v>Link</v>
      </c>
      <c r="G22">
        <v>0.33333333333333331</v>
      </c>
      <c r="H22" t="s">
        <v>38</v>
      </c>
      <c r="I22" t="s">
        <v>39</v>
      </c>
      <c r="J22" t="s">
        <v>39</v>
      </c>
      <c r="K22">
        <v>0.8</v>
      </c>
      <c r="L22" t="s">
        <v>38</v>
      </c>
      <c r="M22" t="s">
        <v>38</v>
      </c>
      <c r="N22" t="s">
        <v>38</v>
      </c>
      <c r="O22" t="s">
        <v>39</v>
      </c>
      <c r="P22" t="s">
        <v>38</v>
      </c>
      <c r="Q22">
        <v>0.5</v>
      </c>
      <c r="R22" t="s">
        <v>39</v>
      </c>
      <c r="S22" t="s">
        <v>38</v>
      </c>
      <c r="T22">
        <v>0.25</v>
      </c>
      <c r="U22" t="s">
        <v>38</v>
      </c>
      <c r="V22" t="s">
        <v>39</v>
      </c>
      <c r="W22" t="s">
        <v>39</v>
      </c>
      <c r="X22" t="s">
        <v>39</v>
      </c>
      <c r="Y22">
        <v>0</v>
      </c>
      <c r="Z22" t="s">
        <v>39</v>
      </c>
      <c r="AA22" t="s">
        <v>39</v>
      </c>
      <c r="AB22">
        <v>0.75</v>
      </c>
      <c r="AC22" t="s">
        <v>38</v>
      </c>
      <c r="AD22" t="s">
        <v>38</v>
      </c>
      <c r="AE22" t="s">
        <v>38</v>
      </c>
      <c r="AF22" t="s">
        <v>39</v>
      </c>
    </row>
    <row r="23" spans="1:32" ht="15" customHeight="1" x14ac:dyDescent="0.25">
      <c r="A23">
        <v>57</v>
      </c>
      <c r="B23" t="s">
        <v>45</v>
      </c>
      <c r="C23" t="s">
        <v>35</v>
      </c>
      <c r="D23" t="s">
        <v>36</v>
      </c>
      <c r="E23" t="s">
        <v>46</v>
      </c>
      <c r="F23" s="14" t="str">
        <f>HYPERLINK("https://www.assurx.com/quality-management-software/", "Link")</f>
        <v>Link</v>
      </c>
      <c r="G23">
        <v>0.33333333333333331</v>
      </c>
      <c r="H23" t="s">
        <v>38</v>
      </c>
      <c r="I23" t="s">
        <v>39</v>
      </c>
      <c r="J23" t="s">
        <v>39</v>
      </c>
      <c r="K23">
        <v>1</v>
      </c>
      <c r="L23" t="s">
        <v>38</v>
      </c>
      <c r="M23" t="s">
        <v>38</v>
      </c>
      <c r="N23" t="s">
        <v>38</v>
      </c>
      <c r="O23" t="s">
        <v>38</v>
      </c>
      <c r="P23" t="s">
        <v>38</v>
      </c>
      <c r="Q23">
        <v>0.5</v>
      </c>
      <c r="R23" t="s">
        <v>39</v>
      </c>
      <c r="S23" t="s">
        <v>38</v>
      </c>
      <c r="T23">
        <v>0.5</v>
      </c>
      <c r="U23" t="s">
        <v>38</v>
      </c>
      <c r="V23" t="s">
        <v>39</v>
      </c>
      <c r="W23" t="s">
        <v>38</v>
      </c>
      <c r="X23" t="s">
        <v>39</v>
      </c>
      <c r="Y23">
        <v>0</v>
      </c>
      <c r="Z23" t="s">
        <v>39</v>
      </c>
      <c r="AA23" t="s">
        <v>39</v>
      </c>
      <c r="AB23">
        <v>0</v>
      </c>
      <c r="AC23" t="s">
        <v>39</v>
      </c>
      <c r="AD23" t="s">
        <v>39</v>
      </c>
      <c r="AE23" t="s">
        <v>39</v>
      </c>
      <c r="AF23" t="s">
        <v>39</v>
      </c>
    </row>
    <row r="24" spans="1:32" ht="15" customHeight="1" x14ac:dyDescent="0.25">
      <c r="A24">
        <v>59</v>
      </c>
      <c r="B24" t="s">
        <v>47</v>
      </c>
      <c r="C24" t="s">
        <v>40</v>
      </c>
      <c r="D24" t="s">
        <v>48</v>
      </c>
      <c r="E24" t="s">
        <v>49</v>
      </c>
      <c r="F24" s="14" t="str">
        <f>HYPERLINK("https://www.babtec.de/", "Link")</f>
        <v>Link</v>
      </c>
      <c r="G24">
        <v>0.33333333333333331</v>
      </c>
      <c r="H24" t="s">
        <v>38</v>
      </c>
      <c r="I24" t="s">
        <v>39</v>
      </c>
      <c r="J24" t="s">
        <v>39</v>
      </c>
      <c r="K24">
        <v>0.8</v>
      </c>
      <c r="L24" t="s">
        <v>38</v>
      </c>
      <c r="M24" t="s">
        <v>38</v>
      </c>
      <c r="N24" t="s">
        <v>38</v>
      </c>
      <c r="O24" t="s">
        <v>38</v>
      </c>
      <c r="P24" t="s">
        <v>39</v>
      </c>
      <c r="Q24">
        <v>0.5</v>
      </c>
      <c r="R24" t="s">
        <v>39</v>
      </c>
      <c r="S24" t="s">
        <v>38</v>
      </c>
      <c r="T24">
        <v>1</v>
      </c>
      <c r="U24" t="s">
        <v>38</v>
      </c>
      <c r="V24" t="s">
        <v>38</v>
      </c>
      <c r="W24" t="s">
        <v>38</v>
      </c>
      <c r="X24" t="s">
        <v>38</v>
      </c>
      <c r="Y24">
        <v>1</v>
      </c>
      <c r="Z24" t="s">
        <v>38</v>
      </c>
      <c r="AA24" t="s">
        <v>38</v>
      </c>
      <c r="AB24">
        <v>0.5</v>
      </c>
      <c r="AC24" t="s">
        <v>38</v>
      </c>
      <c r="AD24" t="s">
        <v>38</v>
      </c>
      <c r="AE24" t="s">
        <v>39</v>
      </c>
      <c r="AF24" t="s">
        <v>39</v>
      </c>
    </row>
    <row r="25" spans="1:32" ht="15" customHeight="1" x14ac:dyDescent="0.25">
      <c r="A25">
        <v>97</v>
      </c>
      <c r="B25" t="s">
        <v>183</v>
      </c>
      <c r="C25" t="s">
        <v>40</v>
      </c>
      <c r="D25" t="s">
        <v>48</v>
      </c>
      <c r="E25" t="s">
        <v>184</v>
      </c>
      <c r="F25" s="14" t="str">
        <f>HYPERLINK("https://www.bayoosoft.com/en/", "Link")</f>
        <v>Link</v>
      </c>
      <c r="G25">
        <v>1</v>
      </c>
      <c r="H25" t="s">
        <v>38</v>
      </c>
      <c r="I25" t="s">
        <v>38</v>
      </c>
      <c r="J25" t="s">
        <v>38</v>
      </c>
      <c r="K25">
        <v>0.4</v>
      </c>
      <c r="L25" t="s">
        <v>39</v>
      </c>
      <c r="M25" t="s">
        <v>39</v>
      </c>
      <c r="N25" t="s">
        <v>39</v>
      </c>
      <c r="O25" t="s">
        <v>38</v>
      </c>
      <c r="P25" t="s">
        <v>38</v>
      </c>
      <c r="R25" t="s">
        <v>39</v>
      </c>
      <c r="S25" t="s">
        <v>39</v>
      </c>
      <c r="U25" t="s">
        <v>39</v>
      </c>
      <c r="V25" t="s">
        <v>39</v>
      </c>
      <c r="W25" t="s">
        <v>39</v>
      </c>
      <c r="X25" t="s">
        <v>39</v>
      </c>
      <c r="Z25" t="s">
        <v>39</v>
      </c>
      <c r="AA25" t="s">
        <v>39</v>
      </c>
      <c r="AC25" t="s">
        <v>39</v>
      </c>
      <c r="AD25" t="s">
        <v>39</v>
      </c>
      <c r="AE25" t="s">
        <v>39</v>
      </c>
      <c r="AF25" t="s">
        <v>39</v>
      </c>
    </row>
    <row r="26" spans="1:32" ht="15" customHeight="1" x14ac:dyDescent="0.25">
      <c r="A26">
        <v>46</v>
      </c>
      <c r="B26" t="s">
        <v>50</v>
      </c>
      <c r="C26" t="s">
        <v>51</v>
      </c>
      <c r="D26" t="s">
        <v>48</v>
      </c>
      <c r="E26" t="s">
        <v>52</v>
      </c>
      <c r="F26" s="14" t="str">
        <f>HYPERLINK("https://www.riskmanager.net/", "Link")</f>
        <v>Link</v>
      </c>
      <c r="G26">
        <v>0</v>
      </c>
      <c r="H26" t="s">
        <v>39</v>
      </c>
      <c r="I26" t="s">
        <v>39</v>
      </c>
      <c r="J26" t="s">
        <v>39</v>
      </c>
      <c r="K26">
        <v>0.2</v>
      </c>
      <c r="L26" t="s">
        <v>39</v>
      </c>
      <c r="M26" t="s">
        <v>39</v>
      </c>
      <c r="N26" t="s">
        <v>38</v>
      </c>
      <c r="O26" t="s">
        <v>39</v>
      </c>
      <c r="P26" t="s">
        <v>39</v>
      </c>
      <c r="Q26">
        <v>0</v>
      </c>
      <c r="R26" t="s">
        <v>39</v>
      </c>
      <c r="S26" t="s">
        <v>39</v>
      </c>
      <c r="T26">
        <v>0</v>
      </c>
      <c r="U26" t="s">
        <v>39</v>
      </c>
      <c r="V26" t="s">
        <v>39</v>
      </c>
      <c r="W26" t="s">
        <v>39</v>
      </c>
      <c r="X26" t="s">
        <v>39</v>
      </c>
      <c r="Y26">
        <v>0</v>
      </c>
      <c r="Z26" t="s">
        <v>39</v>
      </c>
      <c r="AA26" t="s">
        <v>39</v>
      </c>
      <c r="AB26">
        <v>0.75</v>
      </c>
      <c r="AC26" t="s">
        <v>39</v>
      </c>
      <c r="AD26" t="s">
        <v>38</v>
      </c>
      <c r="AE26" t="s">
        <v>38</v>
      </c>
      <c r="AF26" t="s">
        <v>38</v>
      </c>
    </row>
    <row r="27" spans="1:32" ht="15" customHeight="1" x14ac:dyDescent="0.25">
      <c r="A27">
        <v>60</v>
      </c>
      <c r="B27" t="s">
        <v>53</v>
      </c>
      <c r="C27" t="s">
        <v>40</v>
      </c>
      <c r="D27" t="s">
        <v>54</v>
      </c>
      <c r="E27" t="s">
        <v>55</v>
      </c>
      <c r="F27" s="14" t="str">
        <f>HYPERLINK("https://www.bizzmine.com/en/", "Link")</f>
        <v>Link</v>
      </c>
      <c r="G27">
        <v>0.66666666666666663</v>
      </c>
      <c r="H27" t="s">
        <v>38</v>
      </c>
      <c r="I27" t="s">
        <v>39</v>
      </c>
      <c r="J27" t="s">
        <v>38</v>
      </c>
      <c r="K27">
        <v>1</v>
      </c>
      <c r="L27" t="s">
        <v>38</v>
      </c>
      <c r="M27" t="s">
        <v>38</v>
      </c>
      <c r="N27" t="s">
        <v>38</v>
      </c>
      <c r="O27" t="s">
        <v>38</v>
      </c>
      <c r="P27" t="s">
        <v>38</v>
      </c>
      <c r="Q27">
        <v>0.5</v>
      </c>
      <c r="R27" t="s">
        <v>39</v>
      </c>
      <c r="S27" t="s">
        <v>38</v>
      </c>
      <c r="T27">
        <v>0.5</v>
      </c>
      <c r="U27" t="s">
        <v>38</v>
      </c>
      <c r="V27" t="s">
        <v>39</v>
      </c>
      <c r="W27" t="s">
        <v>38</v>
      </c>
      <c r="X27" t="s">
        <v>39</v>
      </c>
      <c r="Y27">
        <v>0</v>
      </c>
      <c r="Z27" t="s">
        <v>39</v>
      </c>
      <c r="AA27" t="s">
        <v>39</v>
      </c>
      <c r="AB27">
        <v>0</v>
      </c>
      <c r="AC27" t="s">
        <v>39</v>
      </c>
      <c r="AD27" t="s">
        <v>39</v>
      </c>
      <c r="AE27" t="s">
        <v>39</v>
      </c>
      <c r="AF27" t="s">
        <v>39</v>
      </c>
    </row>
    <row r="28" spans="1:32" ht="15" customHeight="1" x14ac:dyDescent="0.25">
      <c r="A28">
        <v>61</v>
      </c>
      <c r="B28" t="s">
        <v>56</v>
      </c>
      <c r="C28" t="s">
        <v>35</v>
      </c>
      <c r="D28" t="s">
        <v>41</v>
      </c>
      <c r="E28" t="s">
        <v>57</v>
      </c>
      <c r="F28" s="14" t="str">
        <f>HYPERLINK("https://www.bpa-solutions.net/sharepoint-quality/", "Link")</f>
        <v>Link</v>
      </c>
      <c r="G28">
        <v>1</v>
      </c>
      <c r="H28" t="s">
        <v>38</v>
      </c>
      <c r="I28" t="s">
        <v>38</v>
      </c>
      <c r="J28" t="s">
        <v>38</v>
      </c>
      <c r="K28">
        <v>1</v>
      </c>
      <c r="L28" t="s">
        <v>38</v>
      </c>
      <c r="M28" t="s">
        <v>38</v>
      </c>
      <c r="N28" t="s">
        <v>38</v>
      </c>
      <c r="O28" t="s">
        <v>38</v>
      </c>
      <c r="P28" t="s">
        <v>38</v>
      </c>
      <c r="Q28">
        <v>1</v>
      </c>
      <c r="R28" t="s">
        <v>38</v>
      </c>
      <c r="S28" t="s">
        <v>38</v>
      </c>
      <c r="T28">
        <v>0.5</v>
      </c>
      <c r="U28" t="s">
        <v>38</v>
      </c>
      <c r="V28" t="s">
        <v>39</v>
      </c>
      <c r="W28" t="s">
        <v>38</v>
      </c>
      <c r="X28" t="s">
        <v>39</v>
      </c>
      <c r="Y28">
        <v>0</v>
      </c>
      <c r="Z28" t="s">
        <v>39</v>
      </c>
      <c r="AA28" t="s">
        <v>39</v>
      </c>
      <c r="AB28">
        <v>0</v>
      </c>
      <c r="AC28" t="s">
        <v>39</v>
      </c>
      <c r="AD28" t="s">
        <v>39</v>
      </c>
      <c r="AE28" t="s">
        <v>39</v>
      </c>
      <c r="AF28" t="s">
        <v>39</v>
      </c>
    </row>
    <row r="29" spans="1:32" ht="15" customHeight="1" x14ac:dyDescent="0.25">
      <c r="A29">
        <v>101</v>
      </c>
      <c r="B29" t="s">
        <v>190</v>
      </c>
      <c r="C29" t="s">
        <v>40</v>
      </c>
      <c r="D29" t="s">
        <v>36</v>
      </c>
      <c r="E29" t="s">
        <v>190</v>
      </c>
      <c r="F29" s="14" t="str">
        <f>HYPERLINK("https://www.brixiq.ai/industries/medical-devices", "Link")</f>
        <v>Link</v>
      </c>
      <c r="G29">
        <v>0.33333333333333331</v>
      </c>
      <c r="H29" t="s">
        <v>38</v>
      </c>
      <c r="I29" t="s">
        <v>39</v>
      </c>
      <c r="J29" t="s">
        <v>39</v>
      </c>
      <c r="K29">
        <v>0.6</v>
      </c>
      <c r="L29" t="s">
        <v>38</v>
      </c>
      <c r="M29" t="s">
        <v>38</v>
      </c>
      <c r="N29" t="s">
        <v>38</v>
      </c>
      <c r="O29" t="s">
        <v>39</v>
      </c>
      <c r="P29" t="s">
        <v>39</v>
      </c>
      <c r="R29" t="s">
        <v>39</v>
      </c>
      <c r="S29" t="s">
        <v>39</v>
      </c>
      <c r="U29" t="s">
        <v>39</v>
      </c>
      <c r="V29" t="s">
        <v>39</v>
      </c>
      <c r="W29" t="s">
        <v>39</v>
      </c>
      <c r="X29" t="s">
        <v>39</v>
      </c>
      <c r="Z29" t="s">
        <v>39</v>
      </c>
      <c r="AA29" t="s">
        <v>39</v>
      </c>
      <c r="AB29">
        <v>0.25</v>
      </c>
      <c r="AC29" t="s">
        <v>39</v>
      </c>
      <c r="AD29" t="s">
        <v>39</v>
      </c>
      <c r="AE29" t="s">
        <v>39</v>
      </c>
      <c r="AF29" t="s">
        <v>38</v>
      </c>
    </row>
    <row r="30" spans="1:32" ht="15" customHeight="1" x14ac:dyDescent="0.25">
      <c r="A30">
        <v>63</v>
      </c>
      <c r="B30" t="s">
        <v>161</v>
      </c>
      <c r="C30" t="s">
        <v>40</v>
      </c>
      <c r="D30" t="s">
        <v>48</v>
      </c>
      <c r="E30" t="s">
        <v>162</v>
      </c>
      <c r="F30" s="14" t="str">
        <f>HYPERLINK("https://www.caq.de/de", "Link")</f>
        <v>Link</v>
      </c>
      <c r="G30">
        <v>0.66666666666666663</v>
      </c>
      <c r="H30" t="s">
        <v>38</v>
      </c>
      <c r="I30" t="s">
        <v>39</v>
      </c>
      <c r="J30" t="s">
        <v>38</v>
      </c>
      <c r="K30">
        <v>1</v>
      </c>
      <c r="L30" t="s">
        <v>38</v>
      </c>
      <c r="M30" t="s">
        <v>38</v>
      </c>
      <c r="N30" t="s">
        <v>38</v>
      </c>
      <c r="O30" t="s">
        <v>38</v>
      </c>
      <c r="P30" t="s">
        <v>38</v>
      </c>
      <c r="Q30">
        <v>0.5</v>
      </c>
      <c r="R30" t="s">
        <v>39</v>
      </c>
      <c r="S30" t="s">
        <v>38</v>
      </c>
      <c r="T30">
        <v>1</v>
      </c>
      <c r="U30" t="s">
        <v>38</v>
      </c>
      <c r="V30" t="s">
        <v>38</v>
      </c>
      <c r="W30" t="s">
        <v>38</v>
      </c>
      <c r="X30" t="s">
        <v>38</v>
      </c>
      <c r="Y30">
        <v>1</v>
      </c>
      <c r="Z30" t="s">
        <v>38</v>
      </c>
      <c r="AA30" t="s">
        <v>38</v>
      </c>
      <c r="AB30">
        <v>0.25</v>
      </c>
      <c r="AC30" t="s">
        <v>38</v>
      </c>
      <c r="AD30" t="s">
        <v>39</v>
      </c>
      <c r="AE30" t="s">
        <v>39</v>
      </c>
      <c r="AF30" t="s">
        <v>39</v>
      </c>
    </row>
    <row r="31" spans="1:32" ht="15" customHeight="1" x14ac:dyDescent="0.25">
      <c r="A31">
        <v>102</v>
      </c>
      <c r="B31" t="s">
        <v>191</v>
      </c>
      <c r="C31" t="s">
        <v>35</v>
      </c>
      <c r="D31" t="s">
        <v>36</v>
      </c>
      <c r="E31" t="s">
        <v>191</v>
      </c>
      <c r="F31" s="14" t="str">
        <f>HYPERLINK("https://www.cloudtheapp.com/", "Link")</f>
        <v>Link</v>
      </c>
      <c r="G31">
        <v>0.66666666666666663</v>
      </c>
      <c r="H31" t="s">
        <v>38</v>
      </c>
      <c r="I31" t="s">
        <v>39</v>
      </c>
      <c r="J31" t="s">
        <v>38</v>
      </c>
      <c r="K31">
        <v>1</v>
      </c>
      <c r="L31" t="s">
        <v>38</v>
      </c>
      <c r="M31" t="s">
        <v>38</v>
      </c>
      <c r="N31" t="s">
        <v>38</v>
      </c>
      <c r="O31" t="s">
        <v>38</v>
      </c>
      <c r="P31" t="s">
        <v>38</v>
      </c>
      <c r="Q31">
        <v>0.5</v>
      </c>
      <c r="R31" t="s">
        <v>39</v>
      </c>
      <c r="S31" t="s">
        <v>38</v>
      </c>
      <c r="T31">
        <v>1</v>
      </c>
      <c r="U31" t="s">
        <v>38</v>
      </c>
      <c r="V31" t="s">
        <v>38</v>
      </c>
      <c r="W31" t="s">
        <v>38</v>
      </c>
      <c r="X31" t="s">
        <v>38</v>
      </c>
      <c r="Y31">
        <v>1</v>
      </c>
      <c r="Z31" t="s">
        <v>38</v>
      </c>
      <c r="AA31" t="s">
        <v>38</v>
      </c>
      <c r="AB31">
        <v>0.5</v>
      </c>
      <c r="AC31" t="s">
        <v>39</v>
      </c>
      <c r="AD31" t="s">
        <v>38</v>
      </c>
      <c r="AE31" t="s">
        <v>38</v>
      </c>
      <c r="AF31" t="s">
        <v>39</v>
      </c>
    </row>
    <row r="32" spans="1:32" ht="15" customHeight="1" x14ac:dyDescent="0.25">
      <c r="A32">
        <v>86</v>
      </c>
      <c r="B32" t="s">
        <v>58</v>
      </c>
      <c r="C32" t="s">
        <v>35</v>
      </c>
      <c r="D32" t="s">
        <v>59</v>
      </c>
      <c r="E32" t="s">
        <v>60</v>
      </c>
      <c r="F32" s="14" t="str">
        <f>HYPERLINK("https://www.cognidox.com/", "Link")</f>
        <v>Link</v>
      </c>
      <c r="G32">
        <v>1</v>
      </c>
      <c r="H32" t="s">
        <v>38</v>
      </c>
      <c r="I32" t="s">
        <v>38</v>
      </c>
      <c r="J32" t="s">
        <v>38</v>
      </c>
      <c r="K32">
        <v>0.6</v>
      </c>
      <c r="L32" t="s">
        <v>38</v>
      </c>
      <c r="M32" t="s">
        <v>38</v>
      </c>
      <c r="N32" t="s">
        <v>39</v>
      </c>
      <c r="O32" t="s">
        <v>39</v>
      </c>
      <c r="P32" t="s">
        <v>38</v>
      </c>
      <c r="Q32">
        <v>0.5</v>
      </c>
      <c r="R32" t="s">
        <v>39</v>
      </c>
      <c r="S32" t="s">
        <v>38</v>
      </c>
      <c r="T32">
        <v>0.25</v>
      </c>
      <c r="U32" t="s">
        <v>38</v>
      </c>
      <c r="V32" t="s">
        <v>39</v>
      </c>
      <c r="W32" t="s">
        <v>39</v>
      </c>
      <c r="X32" t="s">
        <v>39</v>
      </c>
      <c r="Y32">
        <v>0</v>
      </c>
      <c r="Z32" t="s">
        <v>39</v>
      </c>
      <c r="AA32" t="s">
        <v>39</v>
      </c>
      <c r="AB32">
        <v>0</v>
      </c>
      <c r="AC32" t="s">
        <v>39</v>
      </c>
      <c r="AD32" t="s">
        <v>39</v>
      </c>
      <c r="AE32" t="s">
        <v>39</v>
      </c>
      <c r="AF32" t="s">
        <v>39</v>
      </c>
    </row>
    <row r="33" spans="1:32" ht="15" customHeight="1" x14ac:dyDescent="0.25">
      <c r="A33">
        <v>64</v>
      </c>
      <c r="B33" t="s">
        <v>61</v>
      </c>
      <c r="C33" t="s">
        <v>35</v>
      </c>
      <c r="D33" t="s">
        <v>62</v>
      </c>
      <c r="E33" t="s">
        <v>63</v>
      </c>
      <c r="F33" s="14" t="str">
        <f>HYPERLINK("https://companionqms.com/", "Link")</f>
        <v>Link</v>
      </c>
      <c r="G33">
        <v>0.33333333333333331</v>
      </c>
      <c r="H33" t="s">
        <v>38</v>
      </c>
      <c r="I33" t="s">
        <v>39</v>
      </c>
      <c r="J33" t="s">
        <v>39</v>
      </c>
      <c r="K33">
        <v>0.4</v>
      </c>
      <c r="L33" t="s">
        <v>39</v>
      </c>
      <c r="M33" t="s">
        <v>38</v>
      </c>
      <c r="N33" t="s">
        <v>39</v>
      </c>
      <c r="O33" t="s">
        <v>39</v>
      </c>
      <c r="P33" t="s">
        <v>38</v>
      </c>
      <c r="Q33">
        <v>0.5</v>
      </c>
      <c r="R33" t="s">
        <v>39</v>
      </c>
      <c r="S33" t="s">
        <v>38</v>
      </c>
      <c r="T33">
        <v>0.25</v>
      </c>
      <c r="U33" t="s">
        <v>38</v>
      </c>
      <c r="V33" t="s">
        <v>39</v>
      </c>
      <c r="W33" t="s">
        <v>39</v>
      </c>
      <c r="X33" t="s">
        <v>39</v>
      </c>
      <c r="Y33">
        <v>0</v>
      </c>
      <c r="Z33" t="s">
        <v>39</v>
      </c>
      <c r="AA33" t="s">
        <v>39</v>
      </c>
      <c r="AB33">
        <v>0</v>
      </c>
      <c r="AC33" t="s">
        <v>39</v>
      </c>
      <c r="AD33" t="s">
        <v>39</v>
      </c>
      <c r="AE33" t="s">
        <v>39</v>
      </c>
      <c r="AF33" t="s">
        <v>39</v>
      </c>
    </row>
    <row r="34" spans="1:32" ht="15" customHeight="1" x14ac:dyDescent="0.25">
      <c r="A34">
        <v>98</v>
      </c>
      <c r="B34" t="s">
        <v>185</v>
      </c>
      <c r="C34" t="s">
        <v>35</v>
      </c>
      <c r="D34" t="s">
        <v>166</v>
      </c>
      <c r="E34" t="s">
        <v>186</v>
      </c>
      <c r="F34" s="14" t="str">
        <f>HYPERLINK("https://www.confideck.com/", "Link")</f>
        <v>Link</v>
      </c>
      <c r="G34">
        <v>0.66666666666666663</v>
      </c>
      <c r="H34" t="s">
        <v>38</v>
      </c>
      <c r="I34" t="s">
        <v>38</v>
      </c>
      <c r="J34" t="s">
        <v>39</v>
      </c>
      <c r="K34">
        <v>0.2</v>
      </c>
      <c r="L34" t="s">
        <v>39</v>
      </c>
      <c r="M34" t="s">
        <v>39</v>
      </c>
      <c r="N34" t="s">
        <v>39</v>
      </c>
      <c r="O34" t="s">
        <v>39</v>
      </c>
      <c r="P34" t="s">
        <v>38</v>
      </c>
      <c r="R34" t="s">
        <v>39</v>
      </c>
      <c r="S34" t="s">
        <v>39</v>
      </c>
      <c r="U34" t="s">
        <v>39</v>
      </c>
      <c r="V34" t="s">
        <v>39</v>
      </c>
      <c r="W34" t="s">
        <v>39</v>
      </c>
      <c r="X34" t="s">
        <v>39</v>
      </c>
      <c r="Z34" t="s">
        <v>39</v>
      </c>
      <c r="AA34" t="s">
        <v>39</v>
      </c>
      <c r="AC34" t="s">
        <v>39</v>
      </c>
      <c r="AD34" t="s">
        <v>39</v>
      </c>
      <c r="AE34" t="s">
        <v>39</v>
      </c>
      <c r="AF34" t="s">
        <v>39</v>
      </c>
    </row>
    <row r="35" spans="1:32" ht="15" customHeight="1" x14ac:dyDescent="0.25">
      <c r="A35">
        <v>65</v>
      </c>
      <c r="B35" t="s">
        <v>64</v>
      </c>
      <c r="C35" t="s">
        <v>40</v>
      </c>
      <c r="D35" t="s">
        <v>48</v>
      </c>
      <c r="E35" t="s">
        <v>65</v>
      </c>
      <c r="F35" s="14" t="str">
        <f>HYPERLINK("https://www.consense-gmbh.de/home/", "Link")</f>
        <v>Link</v>
      </c>
      <c r="G35">
        <v>0.66666666666666663</v>
      </c>
      <c r="H35" t="s">
        <v>38</v>
      </c>
      <c r="I35" t="s">
        <v>38</v>
      </c>
      <c r="J35" t="s">
        <v>39</v>
      </c>
      <c r="K35">
        <v>0.6</v>
      </c>
      <c r="L35" t="s">
        <v>38</v>
      </c>
      <c r="M35" t="s">
        <v>39</v>
      </c>
      <c r="N35" t="s">
        <v>38</v>
      </c>
      <c r="O35" t="s">
        <v>38</v>
      </c>
      <c r="P35" t="s">
        <v>39</v>
      </c>
      <c r="Q35">
        <v>0.5</v>
      </c>
      <c r="R35" t="s">
        <v>39</v>
      </c>
      <c r="S35" t="s">
        <v>38</v>
      </c>
      <c r="T35">
        <v>0.25</v>
      </c>
      <c r="U35" t="s">
        <v>39</v>
      </c>
      <c r="V35" t="s">
        <v>39</v>
      </c>
      <c r="W35" t="s">
        <v>38</v>
      </c>
      <c r="X35" t="s">
        <v>39</v>
      </c>
      <c r="Y35">
        <v>0</v>
      </c>
      <c r="Z35" t="s">
        <v>39</v>
      </c>
      <c r="AA35" t="s">
        <v>39</v>
      </c>
      <c r="AB35">
        <v>0</v>
      </c>
      <c r="AC35" t="s">
        <v>39</v>
      </c>
      <c r="AD35" t="s">
        <v>39</v>
      </c>
      <c r="AE35" t="s">
        <v>39</v>
      </c>
      <c r="AF35" t="s">
        <v>39</v>
      </c>
    </row>
    <row r="36" spans="1:32" ht="15" customHeight="1" x14ac:dyDescent="0.25">
      <c r="A36">
        <v>47</v>
      </c>
      <c r="B36" t="s">
        <v>66</v>
      </c>
      <c r="C36" t="s">
        <v>35</v>
      </c>
      <c r="D36" t="s">
        <v>36</v>
      </c>
      <c r="E36" t="s">
        <v>67</v>
      </c>
      <c r="F36" s="14" t="str">
        <f>HYPERLINK("https://www.compliancequest.com/", "Link")</f>
        <v>Link</v>
      </c>
      <c r="G36">
        <v>0.33333333333333331</v>
      </c>
      <c r="H36" t="s">
        <v>38</v>
      </c>
      <c r="I36" t="s">
        <v>39</v>
      </c>
      <c r="J36" t="s">
        <v>39</v>
      </c>
      <c r="K36">
        <v>1</v>
      </c>
      <c r="L36" t="s">
        <v>38</v>
      </c>
      <c r="M36" t="s">
        <v>38</v>
      </c>
      <c r="N36" t="s">
        <v>38</v>
      </c>
      <c r="O36" t="s">
        <v>38</v>
      </c>
      <c r="P36" t="s">
        <v>38</v>
      </c>
      <c r="Q36">
        <v>0.5</v>
      </c>
      <c r="R36" t="s">
        <v>39</v>
      </c>
      <c r="S36" t="s">
        <v>38</v>
      </c>
      <c r="T36">
        <v>1</v>
      </c>
      <c r="U36" t="s">
        <v>38</v>
      </c>
      <c r="V36" t="s">
        <v>38</v>
      </c>
      <c r="W36" t="s">
        <v>38</v>
      </c>
      <c r="X36" t="s">
        <v>38</v>
      </c>
      <c r="Y36">
        <v>0</v>
      </c>
      <c r="Z36" t="s">
        <v>39</v>
      </c>
      <c r="AA36" t="s">
        <v>39</v>
      </c>
      <c r="AB36">
        <v>1</v>
      </c>
      <c r="AC36" t="s">
        <v>38</v>
      </c>
      <c r="AD36" t="s">
        <v>38</v>
      </c>
      <c r="AE36" t="s">
        <v>38</v>
      </c>
      <c r="AF36" t="s">
        <v>38</v>
      </c>
    </row>
    <row r="37" spans="1:32" ht="15" customHeight="1" x14ac:dyDescent="0.25">
      <c r="A37">
        <v>2</v>
      </c>
      <c r="B37" t="s">
        <v>68</v>
      </c>
      <c r="C37" t="s">
        <v>40</v>
      </c>
      <c r="D37" t="s">
        <v>48</v>
      </c>
      <c r="E37" t="s">
        <v>69</v>
      </c>
      <c r="F37" s="14" t="str">
        <f>HYPERLINK("https://www.dhc-vision.com/en/software/integrated-managementsystem/", "Link")</f>
        <v>Link</v>
      </c>
      <c r="G37">
        <v>0.33333333333333331</v>
      </c>
      <c r="H37" t="s">
        <v>38</v>
      </c>
      <c r="I37" t="s">
        <v>39</v>
      </c>
      <c r="J37" t="s">
        <v>39</v>
      </c>
      <c r="K37">
        <v>0.8</v>
      </c>
      <c r="L37" t="s">
        <v>38</v>
      </c>
      <c r="M37" t="s">
        <v>38</v>
      </c>
      <c r="N37" t="s">
        <v>39</v>
      </c>
      <c r="O37" t="s">
        <v>38</v>
      </c>
      <c r="P37" t="s">
        <v>38</v>
      </c>
      <c r="Q37">
        <v>0.5</v>
      </c>
      <c r="R37" t="s">
        <v>39</v>
      </c>
      <c r="S37" t="s">
        <v>38</v>
      </c>
      <c r="T37">
        <v>0</v>
      </c>
      <c r="U37" t="s">
        <v>39</v>
      </c>
      <c r="V37" t="s">
        <v>39</v>
      </c>
      <c r="W37" t="s">
        <v>39</v>
      </c>
      <c r="X37" t="s">
        <v>39</v>
      </c>
      <c r="Y37">
        <v>0</v>
      </c>
      <c r="Z37" t="s">
        <v>39</v>
      </c>
      <c r="AA37" t="s">
        <v>39</v>
      </c>
      <c r="AB37">
        <v>0</v>
      </c>
      <c r="AC37" t="s">
        <v>39</v>
      </c>
      <c r="AD37" t="s">
        <v>39</v>
      </c>
      <c r="AE37" t="s">
        <v>39</v>
      </c>
      <c r="AF37" t="s">
        <v>39</v>
      </c>
    </row>
    <row r="38" spans="1:32" ht="15" customHeight="1" x14ac:dyDescent="0.25">
      <c r="A38">
        <v>69</v>
      </c>
      <c r="B38" t="s">
        <v>70</v>
      </c>
      <c r="C38" t="s">
        <v>35</v>
      </c>
      <c r="D38" t="s">
        <v>36</v>
      </c>
      <c r="E38" t="s">
        <v>70</v>
      </c>
      <c r="F38" s="14" t="str">
        <f>HYPERLINK("https://www.dotcompliance.com/", "Link")</f>
        <v>Link</v>
      </c>
      <c r="G38">
        <v>0.66666666666666663</v>
      </c>
      <c r="H38" t="s">
        <v>38</v>
      </c>
      <c r="I38" t="s">
        <v>39</v>
      </c>
      <c r="J38" t="s">
        <v>38</v>
      </c>
      <c r="K38">
        <v>1</v>
      </c>
      <c r="L38" t="s">
        <v>38</v>
      </c>
      <c r="M38" t="s">
        <v>38</v>
      </c>
      <c r="N38" t="s">
        <v>38</v>
      </c>
      <c r="O38" t="s">
        <v>38</v>
      </c>
      <c r="P38" t="s">
        <v>38</v>
      </c>
      <c r="Q38">
        <v>0.5</v>
      </c>
      <c r="R38" t="s">
        <v>39</v>
      </c>
      <c r="S38" t="s">
        <v>38</v>
      </c>
      <c r="T38">
        <v>0.75</v>
      </c>
      <c r="U38" t="s">
        <v>38</v>
      </c>
      <c r="V38" t="s">
        <v>38</v>
      </c>
      <c r="W38" t="s">
        <v>38</v>
      </c>
      <c r="X38" t="s">
        <v>39</v>
      </c>
      <c r="Y38">
        <v>0</v>
      </c>
      <c r="Z38" t="s">
        <v>39</v>
      </c>
      <c r="AA38" t="s">
        <v>39</v>
      </c>
      <c r="AB38">
        <v>0</v>
      </c>
      <c r="AC38" t="s">
        <v>39</v>
      </c>
      <c r="AD38" t="s">
        <v>39</v>
      </c>
      <c r="AE38" t="s">
        <v>39</v>
      </c>
      <c r="AF38" t="s">
        <v>39</v>
      </c>
    </row>
    <row r="39" spans="1:32" ht="15" customHeight="1" x14ac:dyDescent="0.25">
      <c r="A39">
        <v>99</v>
      </c>
      <c r="B39" t="s">
        <v>187</v>
      </c>
      <c r="C39" t="s">
        <v>40</v>
      </c>
      <c r="D39" t="s">
        <v>170</v>
      </c>
      <c r="E39" t="s">
        <v>187</v>
      </c>
      <c r="F39" s="14" t="str">
        <f>HYPERLINK("https://fr.ennov.com/", "Link")</f>
        <v>Link</v>
      </c>
      <c r="G39">
        <v>0.66666666666666663</v>
      </c>
      <c r="H39" t="s">
        <v>38</v>
      </c>
      <c r="I39" t="s">
        <v>39</v>
      </c>
      <c r="J39" t="s">
        <v>38</v>
      </c>
      <c r="K39">
        <v>0.8</v>
      </c>
      <c r="L39" t="s">
        <v>38</v>
      </c>
      <c r="M39" t="s">
        <v>38</v>
      </c>
      <c r="N39" t="s">
        <v>39</v>
      </c>
      <c r="O39" t="s">
        <v>38</v>
      </c>
      <c r="P39" t="s">
        <v>38</v>
      </c>
      <c r="R39" t="s">
        <v>39</v>
      </c>
      <c r="S39" t="s">
        <v>39</v>
      </c>
      <c r="U39" t="s">
        <v>39</v>
      </c>
      <c r="V39" t="s">
        <v>39</v>
      </c>
      <c r="W39" t="s">
        <v>39</v>
      </c>
      <c r="X39" t="s">
        <v>39</v>
      </c>
      <c r="Z39" t="s">
        <v>39</v>
      </c>
      <c r="AA39" t="s">
        <v>39</v>
      </c>
      <c r="AC39" t="s">
        <v>39</v>
      </c>
      <c r="AD39" t="s">
        <v>39</v>
      </c>
      <c r="AE39" t="s">
        <v>39</v>
      </c>
      <c r="AF39" t="s">
        <v>39</v>
      </c>
    </row>
    <row r="40" spans="1:32" ht="15" customHeight="1" x14ac:dyDescent="0.25">
      <c r="A40">
        <v>56</v>
      </c>
      <c r="B40" t="s">
        <v>71</v>
      </c>
      <c r="C40" t="s">
        <v>35</v>
      </c>
      <c r="D40" t="s">
        <v>72</v>
      </c>
      <c r="E40" t="s">
        <v>73</v>
      </c>
      <c r="F40" s="14" t="str">
        <f>HYPERLINK("https://qase3d.com/", "Link")</f>
        <v>Link</v>
      </c>
      <c r="G40">
        <v>1</v>
      </c>
      <c r="H40" t="s">
        <v>38</v>
      </c>
      <c r="I40" t="s">
        <v>38</v>
      </c>
      <c r="J40" t="s">
        <v>38</v>
      </c>
      <c r="K40">
        <v>0.6</v>
      </c>
      <c r="L40" t="s">
        <v>38</v>
      </c>
      <c r="M40" t="s">
        <v>38</v>
      </c>
      <c r="N40" t="s">
        <v>39</v>
      </c>
      <c r="O40" t="s">
        <v>38</v>
      </c>
      <c r="P40" t="s">
        <v>39</v>
      </c>
      <c r="Q40">
        <v>0</v>
      </c>
      <c r="R40" t="s">
        <v>39</v>
      </c>
      <c r="S40" t="s">
        <v>39</v>
      </c>
      <c r="T40">
        <v>0</v>
      </c>
      <c r="U40" t="s">
        <v>39</v>
      </c>
      <c r="V40" t="s">
        <v>39</v>
      </c>
      <c r="W40" t="s">
        <v>39</v>
      </c>
      <c r="X40" t="s">
        <v>39</v>
      </c>
      <c r="Y40">
        <v>0</v>
      </c>
      <c r="Z40" t="s">
        <v>39</v>
      </c>
      <c r="AA40" t="s">
        <v>39</v>
      </c>
      <c r="AB40">
        <v>0</v>
      </c>
      <c r="AC40" t="s">
        <v>39</v>
      </c>
      <c r="AD40" t="s">
        <v>39</v>
      </c>
      <c r="AE40" t="s">
        <v>39</v>
      </c>
      <c r="AF40" t="s">
        <v>39</v>
      </c>
    </row>
    <row r="41" spans="1:32" ht="15" customHeight="1" x14ac:dyDescent="0.25">
      <c r="A41">
        <v>4</v>
      </c>
      <c r="B41" t="s">
        <v>74</v>
      </c>
      <c r="C41" t="s">
        <v>40</v>
      </c>
      <c r="D41" t="s">
        <v>48</v>
      </c>
      <c r="E41" t="s">
        <v>75</v>
      </c>
      <c r="F41" s="14" t="str">
        <f>HYPERLINK("https://eqms.de/", "Link")</f>
        <v>Link</v>
      </c>
      <c r="G41">
        <v>0.66666666666666663</v>
      </c>
      <c r="H41" t="s">
        <v>38</v>
      </c>
      <c r="I41" t="s">
        <v>39</v>
      </c>
      <c r="J41" t="s">
        <v>38</v>
      </c>
      <c r="K41">
        <v>0.2</v>
      </c>
      <c r="L41" t="s">
        <v>39</v>
      </c>
      <c r="M41" t="s">
        <v>39</v>
      </c>
      <c r="N41" t="s">
        <v>39</v>
      </c>
      <c r="O41" t="s">
        <v>38</v>
      </c>
      <c r="P41" t="s">
        <v>39</v>
      </c>
      <c r="Q41">
        <v>0.5</v>
      </c>
      <c r="R41" t="s">
        <v>39</v>
      </c>
      <c r="S41" t="s">
        <v>38</v>
      </c>
      <c r="T41">
        <v>0.5</v>
      </c>
      <c r="U41" t="s">
        <v>38</v>
      </c>
      <c r="V41" t="s">
        <v>39</v>
      </c>
      <c r="W41" t="s">
        <v>38</v>
      </c>
      <c r="X41" t="s">
        <v>39</v>
      </c>
      <c r="Y41">
        <v>1</v>
      </c>
      <c r="Z41" t="s">
        <v>38</v>
      </c>
      <c r="AA41" t="s">
        <v>38</v>
      </c>
      <c r="AB41">
        <v>0</v>
      </c>
      <c r="AC41" t="s">
        <v>39</v>
      </c>
      <c r="AD41" t="s">
        <v>39</v>
      </c>
      <c r="AE41" t="s">
        <v>39</v>
      </c>
      <c r="AF41" t="s">
        <v>39</v>
      </c>
    </row>
    <row r="42" spans="1:32" ht="15" customHeight="1" x14ac:dyDescent="0.25">
      <c r="A42">
        <v>5</v>
      </c>
      <c r="B42" t="s">
        <v>76</v>
      </c>
      <c r="C42" t="s">
        <v>35</v>
      </c>
      <c r="D42" t="s">
        <v>77</v>
      </c>
      <c r="E42" t="s">
        <v>78</v>
      </c>
      <c r="F42" s="14" t="str">
        <f>HYPERLINK("https://www.etq.com/medical-devices/", "Link")</f>
        <v>Link</v>
      </c>
      <c r="G42">
        <v>0.66666666666666663</v>
      </c>
      <c r="H42" t="s">
        <v>38</v>
      </c>
      <c r="I42" t="s">
        <v>39</v>
      </c>
      <c r="J42" t="s">
        <v>38</v>
      </c>
      <c r="K42">
        <v>1</v>
      </c>
      <c r="L42" t="s">
        <v>38</v>
      </c>
      <c r="M42" t="s">
        <v>38</v>
      </c>
      <c r="N42" t="s">
        <v>38</v>
      </c>
      <c r="O42" t="s">
        <v>38</v>
      </c>
      <c r="P42" t="s">
        <v>38</v>
      </c>
      <c r="Q42">
        <v>0.5</v>
      </c>
      <c r="R42" t="s">
        <v>39</v>
      </c>
      <c r="S42" t="s">
        <v>38</v>
      </c>
      <c r="T42">
        <v>1</v>
      </c>
      <c r="U42" t="s">
        <v>38</v>
      </c>
      <c r="V42" t="s">
        <v>38</v>
      </c>
      <c r="W42" t="s">
        <v>38</v>
      </c>
      <c r="X42" t="s">
        <v>38</v>
      </c>
      <c r="Y42">
        <v>0</v>
      </c>
      <c r="Z42" t="s">
        <v>39</v>
      </c>
      <c r="AA42" t="s">
        <v>39</v>
      </c>
      <c r="AB42">
        <v>0</v>
      </c>
      <c r="AC42" t="s">
        <v>39</v>
      </c>
      <c r="AD42" t="s">
        <v>39</v>
      </c>
      <c r="AE42" t="s">
        <v>39</v>
      </c>
      <c r="AF42" t="s">
        <v>39</v>
      </c>
    </row>
    <row r="43" spans="1:32" ht="15" customHeight="1" x14ac:dyDescent="0.25">
      <c r="A43">
        <v>90</v>
      </c>
      <c r="B43" t="s">
        <v>171</v>
      </c>
      <c r="C43" t="s">
        <v>35</v>
      </c>
      <c r="D43" t="s">
        <v>36</v>
      </c>
      <c r="E43" t="s">
        <v>171</v>
      </c>
      <c r="F43" s="14" t="str">
        <f>HYPERLINK("https://www.formly.ai/", "Link")</f>
        <v>Link</v>
      </c>
      <c r="G43">
        <v>0.33333333333333331</v>
      </c>
      <c r="H43" t="s">
        <v>38</v>
      </c>
      <c r="I43" t="s">
        <v>39</v>
      </c>
      <c r="J43" t="s">
        <v>39</v>
      </c>
      <c r="K43">
        <v>0.6</v>
      </c>
      <c r="L43" t="s">
        <v>38</v>
      </c>
      <c r="M43" t="s">
        <v>39</v>
      </c>
      <c r="N43" t="s">
        <v>38</v>
      </c>
      <c r="O43" t="s">
        <v>39</v>
      </c>
      <c r="P43" t="s">
        <v>38</v>
      </c>
      <c r="Q43">
        <v>0.5</v>
      </c>
      <c r="R43" t="s">
        <v>39</v>
      </c>
      <c r="S43" t="s">
        <v>38</v>
      </c>
      <c r="T43">
        <v>0</v>
      </c>
      <c r="U43" t="s">
        <v>39</v>
      </c>
      <c r="V43" t="s">
        <v>39</v>
      </c>
      <c r="W43" t="s">
        <v>39</v>
      </c>
      <c r="X43" t="s">
        <v>39</v>
      </c>
      <c r="Y43">
        <v>0</v>
      </c>
      <c r="Z43" t="s">
        <v>39</v>
      </c>
      <c r="AA43" t="s">
        <v>39</v>
      </c>
      <c r="AB43">
        <v>0.75</v>
      </c>
      <c r="AC43" t="s">
        <v>39</v>
      </c>
      <c r="AD43" t="s">
        <v>38</v>
      </c>
      <c r="AE43" t="s">
        <v>38</v>
      </c>
      <c r="AF43" t="s">
        <v>38</v>
      </c>
    </row>
    <row r="44" spans="1:32" ht="15" customHeight="1" x14ac:dyDescent="0.25">
      <c r="A44">
        <v>1</v>
      </c>
      <c r="B44" t="s">
        <v>79</v>
      </c>
      <c r="C44" t="s">
        <v>35</v>
      </c>
      <c r="D44" t="s">
        <v>36</v>
      </c>
      <c r="E44" t="s">
        <v>79</v>
      </c>
      <c r="F44" s="14" t="str">
        <f>HYPERLINK("https://www.greenlight.guru/quality-management-software-1?hs_preview=gARkfenb-27234301481", "Link")</f>
        <v>Link</v>
      </c>
      <c r="G44">
        <v>0.66666666666666663</v>
      </c>
      <c r="H44" t="s">
        <v>38</v>
      </c>
      <c r="I44" t="s">
        <v>38</v>
      </c>
      <c r="J44" t="s">
        <v>39</v>
      </c>
      <c r="K44">
        <v>1</v>
      </c>
      <c r="L44" t="s">
        <v>38</v>
      </c>
      <c r="M44" t="s">
        <v>38</v>
      </c>
      <c r="N44" t="s">
        <v>38</v>
      </c>
      <c r="O44" t="s">
        <v>38</v>
      </c>
      <c r="P44" t="s">
        <v>38</v>
      </c>
      <c r="Q44">
        <v>0.5</v>
      </c>
      <c r="R44" t="s">
        <v>39</v>
      </c>
      <c r="S44" t="s">
        <v>38</v>
      </c>
      <c r="T44">
        <v>0</v>
      </c>
      <c r="U44" t="s">
        <v>39</v>
      </c>
      <c r="V44" t="s">
        <v>39</v>
      </c>
      <c r="W44" t="s">
        <v>39</v>
      </c>
      <c r="X44" t="s">
        <v>39</v>
      </c>
      <c r="Y44">
        <v>0</v>
      </c>
      <c r="Z44" t="s">
        <v>39</v>
      </c>
      <c r="AA44" t="s">
        <v>39</v>
      </c>
      <c r="AB44">
        <v>1</v>
      </c>
      <c r="AC44" t="s">
        <v>38</v>
      </c>
      <c r="AD44" t="s">
        <v>38</v>
      </c>
      <c r="AE44" t="s">
        <v>38</v>
      </c>
      <c r="AF44" t="s">
        <v>38</v>
      </c>
    </row>
    <row r="45" spans="1:32" ht="15" customHeight="1" x14ac:dyDescent="0.25">
      <c r="A45">
        <v>20</v>
      </c>
      <c r="B45" t="s">
        <v>80</v>
      </c>
      <c r="C45" t="s">
        <v>35</v>
      </c>
      <c r="D45" t="s">
        <v>81</v>
      </c>
      <c r="E45" t="s">
        <v>82</v>
      </c>
      <c r="F45" s="14" t="str">
        <f>HYPERLINK("https://www.qiksolve.com/online-quality-management-system", "Link")</f>
        <v>Link</v>
      </c>
      <c r="G45">
        <v>0.33333333333333331</v>
      </c>
      <c r="H45" t="s">
        <v>38</v>
      </c>
      <c r="I45" t="s">
        <v>39</v>
      </c>
      <c r="J45" t="s">
        <v>39</v>
      </c>
      <c r="K45">
        <v>0.8</v>
      </c>
      <c r="L45" t="s">
        <v>38</v>
      </c>
      <c r="M45" t="s">
        <v>38</v>
      </c>
      <c r="N45" t="s">
        <v>39</v>
      </c>
      <c r="O45" t="s">
        <v>38</v>
      </c>
      <c r="P45" t="s">
        <v>38</v>
      </c>
      <c r="Q45">
        <v>0.5</v>
      </c>
      <c r="R45" t="s">
        <v>39</v>
      </c>
      <c r="S45" t="s">
        <v>38</v>
      </c>
      <c r="T45">
        <v>0.25</v>
      </c>
      <c r="U45" t="s">
        <v>38</v>
      </c>
      <c r="V45" t="s">
        <v>39</v>
      </c>
      <c r="W45" t="s">
        <v>39</v>
      </c>
      <c r="X45" t="s">
        <v>39</v>
      </c>
      <c r="Y45">
        <v>0</v>
      </c>
      <c r="Z45" t="s">
        <v>39</v>
      </c>
      <c r="AA45" t="s">
        <v>39</v>
      </c>
      <c r="AB45">
        <v>0</v>
      </c>
      <c r="AC45" t="s">
        <v>39</v>
      </c>
      <c r="AD45" t="s">
        <v>39</v>
      </c>
      <c r="AE45" t="s">
        <v>39</v>
      </c>
      <c r="AF45" t="s">
        <v>39</v>
      </c>
    </row>
    <row r="46" spans="1:32" ht="15" customHeight="1" x14ac:dyDescent="0.25">
      <c r="A46">
        <v>100</v>
      </c>
      <c r="B46" t="s">
        <v>188</v>
      </c>
      <c r="C46" t="s">
        <v>40</v>
      </c>
      <c r="D46" t="s">
        <v>59</v>
      </c>
      <c r="E46" t="s">
        <v>188</v>
      </c>
      <c r="F46" s="14" t="str">
        <f>HYPERLINK("https://www.ideagen.com/", "Link")</f>
        <v>Link</v>
      </c>
      <c r="G46">
        <v>0.33333333333333331</v>
      </c>
      <c r="H46" t="s">
        <v>38</v>
      </c>
      <c r="I46" t="s">
        <v>39</v>
      </c>
      <c r="J46" t="s">
        <v>39</v>
      </c>
      <c r="K46">
        <v>0.6</v>
      </c>
      <c r="L46" t="s">
        <v>39</v>
      </c>
      <c r="M46" t="s">
        <v>38</v>
      </c>
      <c r="N46" t="s">
        <v>39</v>
      </c>
      <c r="O46" t="s">
        <v>38</v>
      </c>
      <c r="P46" t="s">
        <v>38</v>
      </c>
      <c r="Q46">
        <v>0.5</v>
      </c>
      <c r="R46" t="s">
        <v>39</v>
      </c>
      <c r="S46" t="s">
        <v>189</v>
      </c>
      <c r="T46">
        <v>0.5</v>
      </c>
      <c r="U46" t="s">
        <v>38</v>
      </c>
      <c r="V46" t="s">
        <v>38</v>
      </c>
      <c r="W46" t="s">
        <v>39</v>
      </c>
      <c r="X46" t="s">
        <v>39</v>
      </c>
      <c r="Z46" t="s">
        <v>39</v>
      </c>
      <c r="AA46" t="s">
        <v>39</v>
      </c>
      <c r="AC46" t="s">
        <v>39</v>
      </c>
      <c r="AD46" t="s">
        <v>39</v>
      </c>
      <c r="AE46" t="s">
        <v>39</v>
      </c>
      <c r="AF46" t="s">
        <v>39</v>
      </c>
    </row>
    <row r="47" spans="1:32" ht="15" customHeight="1" x14ac:dyDescent="0.25">
      <c r="A47">
        <v>6</v>
      </c>
      <c r="B47" t="s">
        <v>83</v>
      </c>
      <c r="C47" t="s">
        <v>51</v>
      </c>
      <c r="D47" t="s">
        <v>41</v>
      </c>
      <c r="E47" t="s">
        <v>84</v>
      </c>
      <c r="F47" s="14" t="str">
        <f>HYPERLINK("https://www.synprovis.ch/improve", "Link")</f>
        <v>Link</v>
      </c>
      <c r="G47">
        <v>0</v>
      </c>
      <c r="H47" t="s">
        <v>39</v>
      </c>
      <c r="I47" t="s">
        <v>39</v>
      </c>
      <c r="J47" t="s">
        <v>39</v>
      </c>
      <c r="K47">
        <v>0.8</v>
      </c>
      <c r="L47" t="s">
        <v>38</v>
      </c>
      <c r="M47" t="s">
        <v>38</v>
      </c>
      <c r="N47" t="s">
        <v>38</v>
      </c>
      <c r="O47" t="s">
        <v>38</v>
      </c>
      <c r="P47" t="s">
        <v>39</v>
      </c>
      <c r="Q47">
        <v>0.5</v>
      </c>
      <c r="R47" t="s">
        <v>39</v>
      </c>
      <c r="S47" t="s">
        <v>38</v>
      </c>
      <c r="T47">
        <v>0.75</v>
      </c>
      <c r="U47" t="s">
        <v>38</v>
      </c>
      <c r="V47" t="s">
        <v>38</v>
      </c>
      <c r="W47" t="s">
        <v>38</v>
      </c>
      <c r="X47" t="s">
        <v>39</v>
      </c>
      <c r="Y47">
        <v>0</v>
      </c>
      <c r="Z47" t="s">
        <v>39</v>
      </c>
      <c r="AA47" t="s">
        <v>39</v>
      </c>
      <c r="AB47">
        <v>0</v>
      </c>
      <c r="AC47" t="s">
        <v>39</v>
      </c>
      <c r="AD47" t="s">
        <v>39</v>
      </c>
      <c r="AE47" t="s">
        <v>39</v>
      </c>
      <c r="AF47" t="s">
        <v>39</v>
      </c>
    </row>
    <row r="48" spans="1:32" ht="15" customHeight="1" x14ac:dyDescent="0.25">
      <c r="A48">
        <v>7</v>
      </c>
      <c r="B48" t="s">
        <v>85</v>
      </c>
      <c r="C48" t="s">
        <v>40</v>
      </c>
      <c r="D48" t="s">
        <v>41</v>
      </c>
      <c r="E48" t="s">
        <v>86</v>
      </c>
      <c r="F48" s="14" t="str">
        <f>HYPERLINK("https://www.ims-ag.com/", "Link")</f>
        <v>Link</v>
      </c>
      <c r="G48">
        <v>1</v>
      </c>
      <c r="H48" t="s">
        <v>38</v>
      </c>
      <c r="I48" t="s">
        <v>38</v>
      </c>
      <c r="J48" t="s">
        <v>38</v>
      </c>
      <c r="K48">
        <v>0.4</v>
      </c>
      <c r="L48" t="s">
        <v>39</v>
      </c>
      <c r="M48" t="s">
        <v>39</v>
      </c>
      <c r="N48" t="s">
        <v>38</v>
      </c>
      <c r="O48" t="s">
        <v>38</v>
      </c>
      <c r="P48" t="s">
        <v>39</v>
      </c>
      <c r="Q48">
        <v>0.5</v>
      </c>
      <c r="R48" t="s">
        <v>39</v>
      </c>
      <c r="S48" t="s">
        <v>38</v>
      </c>
      <c r="T48">
        <v>0.25</v>
      </c>
      <c r="U48" t="s">
        <v>39</v>
      </c>
      <c r="V48" t="s">
        <v>39</v>
      </c>
      <c r="W48" t="s">
        <v>38</v>
      </c>
      <c r="X48" t="s">
        <v>39</v>
      </c>
      <c r="Y48">
        <v>0</v>
      </c>
      <c r="Z48" t="s">
        <v>39</v>
      </c>
      <c r="AA48" t="s">
        <v>39</v>
      </c>
      <c r="AB48">
        <v>0</v>
      </c>
      <c r="AC48" t="s">
        <v>39</v>
      </c>
      <c r="AD48" t="s">
        <v>39</v>
      </c>
      <c r="AE48" t="s">
        <v>39</v>
      </c>
      <c r="AF48" t="s">
        <v>39</v>
      </c>
    </row>
    <row r="49" spans="1:32" ht="15" customHeight="1" x14ac:dyDescent="0.25">
      <c r="A49">
        <v>13</v>
      </c>
      <c r="B49" t="s">
        <v>87</v>
      </c>
      <c r="C49" t="s">
        <v>40</v>
      </c>
      <c r="D49" t="s">
        <v>36</v>
      </c>
      <c r="E49" t="s">
        <v>88</v>
      </c>
      <c r="F49" s="14" t="str">
        <f>HYPERLINK("https://www.intellect.com/quality-management-software", "Link")</f>
        <v>Link</v>
      </c>
      <c r="G49">
        <v>0.33333333333333331</v>
      </c>
      <c r="H49" t="s">
        <v>38</v>
      </c>
      <c r="I49" t="s">
        <v>39</v>
      </c>
      <c r="J49" t="s">
        <v>39</v>
      </c>
      <c r="K49">
        <v>1</v>
      </c>
      <c r="L49" t="s">
        <v>38</v>
      </c>
      <c r="M49" t="s">
        <v>38</v>
      </c>
      <c r="N49" t="s">
        <v>38</v>
      </c>
      <c r="O49" t="s">
        <v>38</v>
      </c>
      <c r="P49" t="s">
        <v>38</v>
      </c>
      <c r="Q49">
        <v>0.5</v>
      </c>
      <c r="R49" t="s">
        <v>39</v>
      </c>
      <c r="S49" t="s">
        <v>38</v>
      </c>
      <c r="T49">
        <v>0.75</v>
      </c>
      <c r="U49" t="s">
        <v>38</v>
      </c>
      <c r="V49" t="s">
        <v>39</v>
      </c>
      <c r="W49" t="s">
        <v>38</v>
      </c>
      <c r="X49" t="s">
        <v>38</v>
      </c>
      <c r="Y49">
        <v>0.5</v>
      </c>
      <c r="Z49" t="s">
        <v>39</v>
      </c>
      <c r="AA49" t="s">
        <v>38</v>
      </c>
      <c r="AB49">
        <v>0.25</v>
      </c>
      <c r="AC49" t="s">
        <v>39</v>
      </c>
      <c r="AD49" t="s">
        <v>39</v>
      </c>
      <c r="AE49" t="s">
        <v>38</v>
      </c>
      <c r="AF49" t="s">
        <v>39</v>
      </c>
    </row>
    <row r="50" spans="1:32" ht="15" customHeight="1" x14ac:dyDescent="0.25">
      <c r="A50">
        <v>14</v>
      </c>
      <c r="B50" t="s">
        <v>89</v>
      </c>
      <c r="C50" t="s">
        <v>51</v>
      </c>
      <c r="D50" t="s">
        <v>41</v>
      </c>
      <c r="E50" t="s">
        <v>90</v>
      </c>
      <c r="F50" s="14" t="str">
        <f>HYPERLINK("https://iqs.ch/", "Link")</f>
        <v>Link</v>
      </c>
      <c r="G50">
        <v>0.66666666666666663</v>
      </c>
      <c r="H50" t="s">
        <v>38</v>
      </c>
      <c r="I50" t="s">
        <v>39</v>
      </c>
      <c r="J50" t="s">
        <v>38</v>
      </c>
      <c r="K50">
        <v>0.8</v>
      </c>
      <c r="L50" t="s">
        <v>38</v>
      </c>
      <c r="M50" t="s">
        <v>39</v>
      </c>
      <c r="N50" t="s">
        <v>38</v>
      </c>
      <c r="O50" t="s">
        <v>38</v>
      </c>
      <c r="P50" t="s">
        <v>38</v>
      </c>
      <c r="Q50">
        <v>0.5</v>
      </c>
      <c r="R50" t="s">
        <v>39</v>
      </c>
      <c r="S50" t="s">
        <v>38</v>
      </c>
      <c r="T50">
        <v>0.75</v>
      </c>
      <c r="U50" t="s">
        <v>38</v>
      </c>
      <c r="V50" t="s">
        <v>39</v>
      </c>
      <c r="W50" t="s">
        <v>38</v>
      </c>
      <c r="X50" t="s">
        <v>38</v>
      </c>
      <c r="Y50">
        <v>0</v>
      </c>
      <c r="Z50" t="s">
        <v>39</v>
      </c>
      <c r="AA50" t="s">
        <v>39</v>
      </c>
      <c r="AB50">
        <v>0</v>
      </c>
      <c r="AC50" t="s">
        <v>39</v>
      </c>
      <c r="AD50" t="s">
        <v>39</v>
      </c>
      <c r="AE50" t="s">
        <v>39</v>
      </c>
      <c r="AF50" t="s">
        <v>39</v>
      </c>
    </row>
    <row r="51" spans="1:32" ht="15" customHeight="1" x14ac:dyDescent="0.25">
      <c r="A51">
        <v>15</v>
      </c>
      <c r="B51" t="s">
        <v>91</v>
      </c>
      <c r="C51" t="s">
        <v>40</v>
      </c>
      <c r="D51" t="s">
        <v>41</v>
      </c>
      <c r="E51" t="s">
        <v>163</v>
      </c>
      <c r="F51" s="14" t="str">
        <f>HYPERLINK("https://consys.ch/software/", "Link")</f>
        <v>Link</v>
      </c>
      <c r="G51">
        <v>1</v>
      </c>
      <c r="H51" t="s">
        <v>38</v>
      </c>
      <c r="I51" t="s">
        <v>38</v>
      </c>
      <c r="J51" t="s">
        <v>38</v>
      </c>
      <c r="K51">
        <v>1</v>
      </c>
      <c r="L51" t="s">
        <v>38</v>
      </c>
      <c r="M51" t="s">
        <v>38</v>
      </c>
      <c r="N51" t="s">
        <v>38</v>
      </c>
      <c r="O51" t="s">
        <v>38</v>
      </c>
      <c r="P51" t="s">
        <v>38</v>
      </c>
      <c r="Q51">
        <v>1</v>
      </c>
      <c r="R51" t="s">
        <v>38</v>
      </c>
      <c r="S51" t="s">
        <v>38</v>
      </c>
      <c r="T51">
        <v>1</v>
      </c>
      <c r="U51" t="s">
        <v>38</v>
      </c>
      <c r="V51" t="s">
        <v>38</v>
      </c>
      <c r="W51" t="s">
        <v>38</v>
      </c>
      <c r="X51" t="s">
        <v>38</v>
      </c>
      <c r="Y51">
        <v>0</v>
      </c>
      <c r="Z51" t="s">
        <v>39</v>
      </c>
      <c r="AA51" t="s">
        <v>39</v>
      </c>
      <c r="AB51">
        <v>0.25</v>
      </c>
      <c r="AC51" t="s">
        <v>38</v>
      </c>
      <c r="AD51" t="s">
        <v>39</v>
      </c>
      <c r="AE51" t="s">
        <v>39</v>
      </c>
      <c r="AF51" t="s">
        <v>39</v>
      </c>
    </row>
    <row r="52" spans="1:32" ht="15" customHeight="1" x14ac:dyDescent="0.25">
      <c r="A52">
        <v>48</v>
      </c>
      <c r="B52" t="s">
        <v>92</v>
      </c>
      <c r="C52" t="s">
        <v>35</v>
      </c>
      <c r="D52" t="s">
        <v>36</v>
      </c>
      <c r="E52" t="s">
        <v>93</v>
      </c>
      <c r="F52" s="14" t="str">
        <f>HYPERLINK("https://luminlogic.com/", "Link")</f>
        <v>Link</v>
      </c>
      <c r="G52">
        <v>0.33333333333333331</v>
      </c>
      <c r="H52" t="s">
        <v>38</v>
      </c>
      <c r="I52" t="s">
        <v>39</v>
      </c>
      <c r="J52" t="s">
        <v>39</v>
      </c>
      <c r="K52">
        <v>1</v>
      </c>
      <c r="L52" t="s">
        <v>38</v>
      </c>
      <c r="M52" t="s">
        <v>38</v>
      </c>
      <c r="N52" t="s">
        <v>38</v>
      </c>
      <c r="O52" t="s">
        <v>38</v>
      </c>
      <c r="P52" t="s">
        <v>38</v>
      </c>
      <c r="Q52">
        <v>0.5</v>
      </c>
      <c r="R52" t="s">
        <v>39</v>
      </c>
      <c r="S52" t="s">
        <v>38</v>
      </c>
      <c r="T52">
        <v>0.25</v>
      </c>
      <c r="U52" t="s">
        <v>38</v>
      </c>
      <c r="V52" t="s">
        <v>39</v>
      </c>
      <c r="W52" t="s">
        <v>39</v>
      </c>
      <c r="X52" t="s">
        <v>39</v>
      </c>
      <c r="Y52">
        <v>0</v>
      </c>
      <c r="Z52" t="s">
        <v>39</v>
      </c>
      <c r="AA52" t="s">
        <v>39</v>
      </c>
      <c r="AB52">
        <v>0.5</v>
      </c>
      <c r="AC52" t="s">
        <v>39</v>
      </c>
      <c r="AD52" t="s">
        <v>39</v>
      </c>
      <c r="AE52" t="s">
        <v>38</v>
      </c>
      <c r="AF52" t="s">
        <v>38</v>
      </c>
    </row>
    <row r="53" spans="1:32" ht="15" customHeight="1" x14ac:dyDescent="0.25">
      <c r="A53">
        <v>16</v>
      </c>
      <c r="B53" t="s">
        <v>94</v>
      </c>
      <c r="C53" t="s">
        <v>35</v>
      </c>
      <c r="D53" t="s">
        <v>36</v>
      </c>
      <c r="E53" t="s">
        <v>95</v>
      </c>
      <c r="F53" s="14" t="str">
        <f>HYPERLINK("https://www.mastercontrol.com/", "Link")</f>
        <v>Link</v>
      </c>
      <c r="G53">
        <v>0.33333333333333331</v>
      </c>
      <c r="H53" t="s">
        <v>38</v>
      </c>
      <c r="I53" t="s">
        <v>39</v>
      </c>
      <c r="J53" t="s">
        <v>39</v>
      </c>
      <c r="K53">
        <v>1</v>
      </c>
      <c r="L53" t="s">
        <v>38</v>
      </c>
      <c r="M53" t="s">
        <v>38</v>
      </c>
      <c r="N53" t="s">
        <v>38</v>
      </c>
      <c r="O53" t="s">
        <v>38</v>
      </c>
      <c r="P53" t="s">
        <v>38</v>
      </c>
      <c r="Q53">
        <v>0.5</v>
      </c>
      <c r="R53" t="s">
        <v>39</v>
      </c>
      <c r="S53" t="s">
        <v>38</v>
      </c>
      <c r="T53">
        <v>1</v>
      </c>
      <c r="U53" t="s">
        <v>38</v>
      </c>
      <c r="V53" t="s">
        <v>38</v>
      </c>
      <c r="W53" t="s">
        <v>38</v>
      </c>
      <c r="X53" t="s">
        <v>38</v>
      </c>
      <c r="Y53">
        <v>0</v>
      </c>
      <c r="Z53" t="s">
        <v>39</v>
      </c>
      <c r="AA53" t="s">
        <v>39</v>
      </c>
      <c r="AB53">
        <v>0.5</v>
      </c>
      <c r="AC53" t="s">
        <v>38</v>
      </c>
      <c r="AD53" t="s">
        <v>39</v>
      </c>
      <c r="AE53" t="s">
        <v>38</v>
      </c>
      <c r="AF53" t="s">
        <v>39</v>
      </c>
    </row>
    <row r="54" spans="1:32" ht="15" customHeight="1" x14ac:dyDescent="0.25">
      <c r="A54">
        <v>18</v>
      </c>
      <c r="B54" t="s">
        <v>96</v>
      </c>
      <c r="C54" t="s">
        <v>40</v>
      </c>
      <c r="D54" t="s">
        <v>48</v>
      </c>
      <c r="E54" t="s">
        <v>97</v>
      </c>
      <c r="F54" s="14" t="str">
        <f>HYPERLINK("https://matrixreq.com/product", "Link")</f>
        <v>Link</v>
      </c>
      <c r="G54">
        <v>1</v>
      </c>
      <c r="H54" t="s">
        <v>38</v>
      </c>
      <c r="I54" t="s">
        <v>38</v>
      </c>
      <c r="J54" t="s">
        <v>38</v>
      </c>
      <c r="K54">
        <v>1</v>
      </c>
      <c r="L54" t="s">
        <v>38</v>
      </c>
      <c r="M54" t="s">
        <v>38</v>
      </c>
      <c r="N54" t="s">
        <v>38</v>
      </c>
      <c r="O54" t="s">
        <v>38</v>
      </c>
      <c r="P54" t="s">
        <v>38</v>
      </c>
      <c r="Q54">
        <v>1</v>
      </c>
      <c r="R54" t="s">
        <v>38</v>
      </c>
      <c r="S54" t="s">
        <v>38</v>
      </c>
      <c r="T54">
        <v>0.25</v>
      </c>
      <c r="U54" t="s">
        <v>38</v>
      </c>
      <c r="V54" t="s">
        <v>39</v>
      </c>
      <c r="W54" t="s">
        <v>39</v>
      </c>
      <c r="X54" t="s">
        <v>39</v>
      </c>
      <c r="Y54">
        <v>1</v>
      </c>
      <c r="Z54" t="s">
        <v>38</v>
      </c>
      <c r="AA54" t="s">
        <v>38</v>
      </c>
      <c r="AB54">
        <v>0.75</v>
      </c>
      <c r="AC54" t="s">
        <v>39</v>
      </c>
      <c r="AD54" t="s">
        <v>38</v>
      </c>
      <c r="AE54" t="s">
        <v>38</v>
      </c>
      <c r="AF54" t="s">
        <v>38</v>
      </c>
    </row>
    <row r="55" spans="1:32" ht="15" customHeight="1" x14ac:dyDescent="0.25">
      <c r="A55">
        <v>93</v>
      </c>
      <c r="B55" t="s">
        <v>175</v>
      </c>
      <c r="C55" t="s">
        <v>35</v>
      </c>
      <c r="D55" t="s">
        <v>41</v>
      </c>
      <c r="E55" t="s">
        <v>176</v>
      </c>
      <c r="F55" s="14" t="str">
        <f>HYPERLINK("https://www.wega-it.com/fr/solutions/meddev-eqms/", "Link")</f>
        <v>Link</v>
      </c>
      <c r="G55">
        <v>0.66666666666666663</v>
      </c>
      <c r="H55" t="s">
        <v>38</v>
      </c>
      <c r="I55" t="s">
        <v>38</v>
      </c>
      <c r="J55" t="s">
        <v>39</v>
      </c>
      <c r="K55">
        <v>0.4</v>
      </c>
      <c r="L55" t="s">
        <v>39</v>
      </c>
      <c r="M55" t="s">
        <v>38</v>
      </c>
      <c r="N55" t="s">
        <v>39</v>
      </c>
      <c r="O55" t="s">
        <v>39</v>
      </c>
      <c r="P55" t="s">
        <v>38</v>
      </c>
      <c r="Q55">
        <v>0.5</v>
      </c>
      <c r="R55" t="s">
        <v>39</v>
      </c>
      <c r="S55" t="s">
        <v>38</v>
      </c>
      <c r="T55">
        <v>0.25</v>
      </c>
      <c r="U55" t="s">
        <v>38</v>
      </c>
      <c r="V55" t="s">
        <v>39</v>
      </c>
      <c r="W55" t="s">
        <v>39</v>
      </c>
      <c r="X55" t="s">
        <v>39</v>
      </c>
      <c r="Y55">
        <v>0</v>
      </c>
      <c r="Z55" t="s">
        <v>39</v>
      </c>
      <c r="AA55" t="s">
        <v>39</v>
      </c>
      <c r="AB55">
        <v>0</v>
      </c>
      <c r="AC55" t="s">
        <v>39</v>
      </c>
      <c r="AD55" t="s">
        <v>39</v>
      </c>
      <c r="AE55" t="s">
        <v>39</v>
      </c>
      <c r="AF55" t="s">
        <v>39</v>
      </c>
    </row>
    <row r="56" spans="1:32" ht="15" customHeight="1" x14ac:dyDescent="0.25">
      <c r="A56">
        <v>49</v>
      </c>
      <c r="B56" t="s">
        <v>98</v>
      </c>
      <c r="C56" t="s">
        <v>35</v>
      </c>
      <c r="D56" t="s">
        <v>48</v>
      </c>
      <c r="E56" t="s">
        <v>99</v>
      </c>
      <c r="F56" s="14" t="str">
        <f>HYPERLINK("https://www.meddevo.com/", "Link")</f>
        <v>Link</v>
      </c>
      <c r="G56">
        <v>0.66666666666666663</v>
      </c>
      <c r="H56" t="s">
        <v>38</v>
      </c>
      <c r="I56" t="s">
        <v>38</v>
      </c>
      <c r="J56" t="s">
        <v>39</v>
      </c>
      <c r="K56">
        <v>1</v>
      </c>
      <c r="L56" t="s">
        <v>38</v>
      </c>
      <c r="M56" t="s">
        <v>38</v>
      </c>
      <c r="N56" t="s">
        <v>38</v>
      </c>
      <c r="O56" t="s">
        <v>38</v>
      </c>
      <c r="P56" t="s">
        <v>38</v>
      </c>
      <c r="Q56">
        <v>0</v>
      </c>
      <c r="R56" t="s">
        <v>39</v>
      </c>
      <c r="S56" t="s">
        <v>39</v>
      </c>
      <c r="T56">
        <v>0</v>
      </c>
      <c r="U56" t="s">
        <v>39</v>
      </c>
      <c r="V56" t="s">
        <v>39</v>
      </c>
      <c r="W56" t="s">
        <v>39</v>
      </c>
      <c r="X56" t="s">
        <v>39</v>
      </c>
      <c r="Y56">
        <v>0</v>
      </c>
      <c r="Z56" t="s">
        <v>39</v>
      </c>
      <c r="AA56" t="s">
        <v>39</v>
      </c>
      <c r="AB56">
        <v>0.25</v>
      </c>
      <c r="AC56" t="s">
        <v>39</v>
      </c>
      <c r="AD56" t="s">
        <v>39</v>
      </c>
      <c r="AE56" t="s">
        <v>39</v>
      </c>
      <c r="AF56" t="s">
        <v>38</v>
      </c>
    </row>
    <row r="57" spans="1:32" ht="15" customHeight="1" x14ac:dyDescent="0.25">
      <c r="A57">
        <v>94</v>
      </c>
      <c r="B57" t="s">
        <v>178</v>
      </c>
      <c r="C57" t="s">
        <v>35</v>
      </c>
      <c r="D57" t="s">
        <v>179</v>
      </c>
      <c r="E57" t="s">
        <v>178</v>
      </c>
      <c r="F57" s="14" t="str">
        <f>HYPERLINK("https://medqdoc.com/case-management/", "Link")</f>
        <v>Link</v>
      </c>
      <c r="G57">
        <v>1</v>
      </c>
      <c r="H57" t="s">
        <v>38</v>
      </c>
      <c r="I57" t="s">
        <v>38</v>
      </c>
      <c r="J57" t="s">
        <v>38</v>
      </c>
      <c r="K57">
        <v>0.8</v>
      </c>
      <c r="L57" t="s">
        <v>38</v>
      </c>
      <c r="M57" t="s">
        <v>38</v>
      </c>
      <c r="N57" t="s">
        <v>38</v>
      </c>
      <c r="O57" t="s">
        <v>39</v>
      </c>
      <c r="P57" t="s">
        <v>38</v>
      </c>
      <c r="Q57">
        <v>0.5</v>
      </c>
      <c r="R57" t="s">
        <v>39</v>
      </c>
      <c r="S57" t="s">
        <v>38</v>
      </c>
      <c r="T57">
        <v>0.75</v>
      </c>
      <c r="U57" t="s">
        <v>38</v>
      </c>
      <c r="V57" t="s">
        <v>39</v>
      </c>
      <c r="W57" t="s">
        <v>38</v>
      </c>
      <c r="X57" t="s">
        <v>38</v>
      </c>
      <c r="Z57" t="s">
        <v>39</v>
      </c>
      <c r="AA57" t="s">
        <v>39</v>
      </c>
      <c r="AC57" t="s">
        <v>39</v>
      </c>
      <c r="AD57" t="s">
        <v>39</v>
      </c>
      <c r="AE57" t="s">
        <v>39</v>
      </c>
      <c r="AF57" t="s">
        <v>39</v>
      </c>
    </row>
    <row r="58" spans="1:32" ht="15" customHeight="1" x14ac:dyDescent="0.25">
      <c r="A58">
        <v>87</v>
      </c>
      <c r="B58" t="s">
        <v>100</v>
      </c>
      <c r="C58" t="s">
        <v>35</v>
      </c>
      <c r="D58" t="s">
        <v>48</v>
      </c>
      <c r="E58" t="s">
        <v>101</v>
      </c>
      <c r="F58" s="14" t="str">
        <f>HYPERLINK("https://openregulatory.com/", "Link")</f>
        <v>Link</v>
      </c>
      <c r="G58">
        <v>0.66666666666666663</v>
      </c>
      <c r="H58" t="s">
        <v>38</v>
      </c>
      <c r="I58" t="s">
        <v>38</v>
      </c>
      <c r="J58" t="s">
        <v>39</v>
      </c>
      <c r="K58">
        <v>0.4</v>
      </c>
      <c r="L58" t="s">
        <v>39</v>
      </c>
      <c r="M58" t="s">
        <v>38</v>
      </c>
      <c r="N58" t="s">
        <v>38</v>
      </c>
      <c r="O58" t="s">
        <v>39</v>
      </c>
      <c r="P58" t="s">
        <v>39</v>
      </c>
      <c r="Q58">
        <v>1</v>
      </c>
      <c r="R58" t="s">
        <v>38</v>
      </c>
      <c r="S58" t="s">
        <v>38</v>
      </c>
      <c r="T58">
        <v>0</v>
      </c>
      <c r="U58" t="s">
        <v>39</v>
      </c>
      <c r="V58" t="s">
        <v>39</v>
      </c>
      <c r="W58" t="s">
        <v>39</v>
      </c>
      <c r="X58" t="s">
        <v>39</v>
      </c>
      <c r="Y58">
        <v>0</v>
      </c>
      <c r="Z58" t="s">
        <v>39</v>
      </c>
      <c r="AA58" t="s">
        <v>39</v>
      </c>
      <c r="AB58">
        <v>0.5</v>
      </c>
      <c r="AC58" t="s">
        <v>39</v>
      </c>
      <c r="AD58" t="s">
        <v>38</v>
      </c>
      <c r="AE58" t="s">
        <v>39</v>
      </c>
      <c r="AF58" t="s">
        <v>38</v>
      </c>
    </row>
    <row r="59" spans="1:32" ht="15" customHeight="1" x14ac:dyDescent="0.25">
      <c r="A59">
        <v>19</v>
      </c>
      <c r="B59" t="s">
        <v>102</v>
      </c>
      <c r="C59" t="s">
        <v>40</v>
      </c>
      <c r="D59" t="s">
        <v>41</v>
      </c>
      <c r="E59" t="s">
        <v>103</v>
      </c>
      <c r="F59" s="14" t="str">
        <f>HYPERLINK("https://optimiso-group.com/en/software/certifications/certification-13485/", "Link")</f>
        <v>Link</v>
      </c>
      <c r="G59">
        <v>0.66666666666666663</v>
      </c>
      <c r="H59" t="s">
        <v>38</v>
      </c>
      <c r="I59" t="s">
        <v>39</v>
      </c>
      <c r="J59" t="s">
        <v>38</v>
      </c>
      <c r="K59">
        <v>1</v>
      </c>
      <c r="L59" t="s">
        <v>38</v>
      </c>
      <c r="M59" t="s">
        <v>38</v>
      </c>
      <c r="N59" t="s">
        <v>38</v>
      </c>
      <c r="O59" t="s">
        <v>38</v>
      </c>
      <c r="P59" t="s">
        <v>38</v>
      </c>
      <c r="Q59">
        <v>1</v>
      </c>
      <c r="R59" t="s">
        <v>38</v>
      </c>
      <c r="S59" t="s">
        <v>38</v>
      </c>
      <c r="T59">
        <v>0.25</v>
      </c>
      <c r="U59" t="s">
        <v>39</v>
      </c>
      <c r="V59" t="s">
        <v>39</v>
      </c>
      <c r="W59" t="s">
        <v>38</v>
      </c>
      <c r="X59" t="s">
        <v>39</v>
      </c>
      <c r="Y59">
        <v>0</v>
      </c>
      <c r="Z59" t="s">
        <v>39</v>
      </c>
      <c r="AA59" t="s">
        <v>39</v>
      </c>
      <c r="AB59">
        <v>0</v>
      </c>
      <c r="AC59" t="s">
        <v>39</v>
      </c>
      <c r="AD59" t="s">
        <v>39</v>
      </c>
      <c r="AE59" t="s">
        <v>39</v>
      </c>
      <c r="AF59" t="s">
        <v>39</v>
      </c>
    </row>
    <row r="60" spans="1:32" ht="15" customHeight="1" x14ac:dyDescent="0.25">
      <c r="A60">
        <v>21</v>
      </c>
      <c r="B60" t="s">
        <v>104</v>
      </c>
      <c r="C60" t="s">
        <v>35</v>
      </c>
      <c r="D60" t="s">
        <v>105</v>
      </c>
      <c r="E60" t="s">
        <v>106</v>
      </c>
      <c r="F60" s="14" t="str">
        <f>HYPERLINK("https://www.orcanos.com/compliance/qpack-medical-compliance/", "Link")</f>
        <v>Link</v>
      </c>
      <c r="G60">
        <v>1</v>
      </c>
      <c r="H60" t="s">
        <v>38</v>
      </c>
      <c r="I60" t="s">
        <v>38</v>
      </c>
      <c r="J60" t="s">
        <v>38</v>
      </c>
      <c r="K60">
        <v>1</v>
      </c>
      <c r="L60" t="s">
        <v>38</v>
      </c>
      <c r="M60" t="s">
        <v>38</v>
      </c>
      <c r="N60" t="s">
        <v>38</v>
      </c>
      <c r="O60" t="s">
        <v>38</v>
      </c>
      <c r="P60" t="s">
        <v>38</v>
      </c>
      <c r="Q60">
        <v>0.5</v>
      </c>
      <c r="R60" t="s">
        <v>39</v>
      </c>
      <c r="S60" t="s">
        <v>38</v>
      </c>
      <c r="T60">
        <v>0.25</v>
      </c>
      <c r="U60" t="s">
        <v>38</v>
      </c>
      <c r="V60" t="s">
        <v>39</v>
      </c>
      <c r="W60" t="s">
        <v>39</v>
      </c>
      <c r="X60" t="s">
        <v>39</v>
      </c>
      <c r="Y60">
        <v>1</v>
      </c>
      <c r="Z60" t="s">
        <v>38</v>
      </c>
      <c r="AA60" t="s">
        <v>38</v>
      </c>
      <c r="AB60">
        <v>0.75</v>
      </c>
      <c r="AC60" t="s">
        <v>39</v>
      </c>
      <c r="AD60" t="s">
        <v>38</v>
      </c>
      <c r="AE60" t="s">
        <v>38</v>
      </c>
      <c r="AF60" t="s">
        <v>38</v>
      </c>
    </row>
    <row r="61" spans="1:32" ht="15" customHeight="1" x14ac:dyDescent="0.25">
      <c r="A61">
        <v>68</v>
      </c>
      <c r="B61" t="s">
        <v>107</v>
      </c>
      <c r="C61" t="s">
        <v>40</v>
      </c>
      <c r="D61" t="s">
        <v>36</v>
      </c>
      <c r="E61" t="s">
        <v>108</v>
      </c>
      <c r="F61" s="14" t="str">
        <f>HYPERLINK("https://www.plm.automation.siemens.com/global/en/products/polarion/", "Link")</f>
        <v>Link</v>
      </c>
      <c r="G61">
        <v>0.33333333333333331</v>
      </c>
      <c r="H61" t="s">
        <v>38</v>
      </c>
      <c r="I61" t="s">
        <v>39</v>
      </c>
      <c r="J61" t="s">
        <v>39</v>
      </c>
      <c r="K61">
        <v>0.4</v>
      </c>
      <c r="L61" t="s">
        <v>39</v>
      </c>
      <c r="M61" t="s">
        <v>39</v>
      </c>
      <c r="N61" t="s">
        <v>38</v>
      </c>
      <c r="O61" t="s">
        <v>39</v>
      </c>
      <c r="P61" t="s">
        <v>38</v>
      </c>
      <c r="Q61">
        <v>0</v>
      </c>
      <c r="R61" t="s">
        <v>39</v>
      </c>
      <c r="S61" t="s">
        <v>39</v>
      </c>
      <c r="T61">
        <v>0</v>
      </c>
      <c r="U61" t="s">
        <v>39</v>
      </c>
      <c r="V61" t="s">
        <v>39</v>
      </c>
      <c r="W61" t="s">
        <v>39</v>
      </c>
      <c r="X61" t="s">
        <v>39</v>
      </c>
      <c r="Y61">
        <v>0</v>
      </c>
      <c r="Z61" t="s">
        <v>39</v>
      </c>
      <c r="AA61" t="s">
        <v>39</v>
      </c>
      <c r="AB61">
        <v>1</v>
      </c>
      <c r="AC61" t="s">
        <v>38</v>
      </c>
      <c r="AD61" t="s">
        <v>38</v>
      </c>
      <c r="AE61" t="s">
        <v>38</v>
      </c>
      <c r="AF61" t="s">
        <v>38</v>
      </c>
    </row>
    <row r="62" spans="1:32" ht="15" customHeight="1" x14ac:dyDescent="0.25">
      <c r="A62">
        <v>22</v>
      </c>
      <c r="B62" t="s">
        <v>109</v>
      </c>
      <c r="C62" t="s">
        <v>35</v>
      </c>
      <c r="D62" t="s">
        <v>36</v>
      </c>
      <c r="E62" t="s">
        <v>110</v>
      </c>
      <c r="F62" s="14" t="str">
        <f>HYPERLINK("https://www.propelplm.com/products/qms", "Link")</f>
        <v>Link</v>
      </c>
      <c r="G62">
        <v>0.33333333333333331</v>
      </c>
      <c r="H62" t="s">
        <v>38</v>
      </c>
      <c r="I62" t="s">
        <v>39</v>
      </c>
      <c r="J62" t="s">
        <v>39</v>
      </c>
      <c r="K62">
        <v>1</v>
      </c>
      <c r="L62" t="s">
        <v>38</v>
      </c>
      <c r="M62" t="s">
        <v>38</v>
      </c>
      <c r="N62" t="s">
        <v>38</v>
      </c>
      <c r="O62" t="s">
        <v>38</v>
      </c>
      <c r="P62" t="s">
        <v>38</v>
      </c>
      <c r="Q62">
        <v>0.5</v>
      </c>
      <c r="R62" t="s">
        <v>39</v>
      </c>
      <c r="S62" t="s">
        <v>38</v>
      </c>
      <c r="T62">
        <v>0.75</v>
      </c>
      <c r="U62" t="s">
        <v>38</v>
      </c>
      <c r="V62" t="s">
        <v>39</v>
      </c>
      <c r="W62" t="s">
        <v>38</v>
      </c>
      <c r="X62" t="s">
        <v>38</v>
      </c>
      <c r="Y62">
        <v>0</v>
      </c>
      <c r="Z62" t="s">
        <v>39</v>
      </c>
      <c r="AA62" t="s">
        <v>39</v>
      </c>
      <c r="AB62">
        <v>0</v>
      </c>
      <c r="AC62" t="s">
        <v>39</v>
      </c>
      <c r="AD62" t="s">
        <v>39</v>
      </c>
      <c r="AE62" t="s">
        <v>39</v>
      </c>
      <c r="AF62" t="s">
        <v>39</v>
      </c>
    </row>
    <row r="63" spans="1:32" ht="15" customHeight="1" x14ac:dyDescent="0.25">
      <c r="A63">
        <v>23</v>
      </c>
      <c r="B63" t="s">
        <v>111</v>
      </c>
      <c r="C63" t="s">
        <v>40</v>
      </c>
      <c r="D63" t="s">
        <v>48</v>
      </c>
      <c r="E63" t="s">
        <v>112</v>
      </c>
      <c r="F63" s="14" t="str">
        <f>HYPERLINK("https://www.modell-aachen.de/de", "Link")</f>
        <v>Link</v>
      </c>
      <c r="G63">
        <v>0.66666666666666663</v>
      </c>
      <c r="H63" t="s">
        <v>38</v>
      </c>
      <c r="I63" t="s">
        <v>39</v>
      </c>
      <c r="J63" t="s">
        <v>38</v>
      </c>
      <c r="K63">
        <v>0.6</v>
      </c>
      <c r="L63" t="s">
        <v>38</v>
      </c>
      <c r="M63" t="s">
        <v>39</v>
      </c>
      <c r="N63" t="s">
        <v>38</v>
      </c>
      <c r="O63" t="s">
        <v>38</v>
      </c>
      <c r="P63" t="s">
        <v>39</v>
      </c>
      <c r="Q63">
        <v>0.5</v>
      </c>
      <c r="R63" t="s">
        <v>38</v>
      </c>
      <c r="S63" t="s">
        <v>39</v>
      </c>
      <c r="T63">
        <v>0</v>
      </c>
      <c r="U63" t="s">
        <v>39</v>
      </c>
      <c r="V63" t="s">
        <v>39</v>
      </c>
      <c r="W63" t="s">
        <v>39</v>
      </c>
      <c r="X63" t="s">
        <v>39</v>
      </c>
      <c r="Y63">
        <v>0</v>
      </c>
      <c r="Z63" t="s">
        <v>39</v>
      </c>
      <c r="AA63" t="s">
        <v>39</v>
      </c>
      <c r="AB63">
        <v>0.25</v>
      </c>
      <c r="AC63" t="s">
        <v>38</v>
      </c>
      <c r="AD63" t="s">
        <v>39</v>
      </c>
      <c r="AE63" t="s">
        <v>39</v>
      </c>
      <c r="AF63" t="s">
        <v>39</v>
      </c>
    </row>
    <row r="64" spans="1:32" ht="15" customHeight="1" x14ac:dyDescent="0.25">
      <c r="A64">
        <v>24</v>
      </c>
      <c r="B64" t="s">
        <v>113</v>
      </c>
      <c r="C64" t="s">
        <v>40</v>
      </c>
      <c r="D64" t="s">
        <v>36</v>
      </c>
      <c r="E64" t="s">
        <v>114</v>
      </c>
      <c r="F64" s="14" t="str">
        <f>HYPERLINK("https://www.qad.com/solutions/quality-management-system", "Link")</f>
        <v>Link</v>
      </c>
      <c r="G64">
        <v>0.33333333333333331</v>
      </c>
      <c r="H64" t="s">
        <v>38</v>
      </c>
      <c r="I64" t="s">
        <v>39</v>
      </c>
      <c r="J64" t="s">
        <v>39</v>
      </c>
      <c r="K64">
        <v>0.8</v>
      </c>
      <c r="L64" t="s">
        <v>38</v>
      </c>
      <c r="M64" t="s">
        <v>38</v>
      </c>
      <c r="N64" t="s">
        <v>38</v>
      </c>
      <c r="O64" t="s">
        <v>38</v>
      </c>
      <c r="P64" t="s">
        <v>39</v>
      </c>
      <c r="Q64">
        <v>0.5</v>
      </c>
      <c r="R64" t="s">
        <v>39</v>
      </c>
      <c r="S64" t="s">
        <v>38</v>
      </c>
      <c r="T64">
        <v>0.75</v>
      </c>
      <c r="U64" t="s">
        <v>38</v>
      </c>
      <c r="V64" t="s">
        <v>38</v>
      </c>
      <c r="W64" t="s">
        <v>38</v>
      </c>
      <c r="X64" t="s">
        <v>39</v>
      </c>
      <c r="Y64">
        <v>0</v>
      </c>
      <c r="Z64" t="s">
        <v>39</v>
      </c>
      <c r="AA64" t="s">
        <v>39</v>
      </c>
      <c r="AB64">
        <v>0</v>
      </c>
      <c r="AC64" t="s">
        <v>39</v>
      </c>
      <c r="AD64" t="s">
        <v>39</v>
      </c>
      <c r="AE64" t="s">
        <v>39</v>
      </c>
      <c r="AF64" t="s">
        <v>39</v>
      </c>
    </row>
    <row r="65" spans="1:32" ht="15" customHeight="1" x14ac:dyDescent="0.25">
      <c r="A65">
        <v>50</v>
      </c>
      <c r="B65" t="s">
        <v>115</v>
      </c>
      <c r="C65" t="s">
        <v>51</v>
      </c>
      <c r="D65" t="s">
        <v>36</v>
      </c>
      <c r="E65" t="s">
        <v>116</v>
      </c>
      <c r="F65" s="14" t="str">
        <f>HYPERLINK("https://www.camasoftware.com/", "Link")</f>
        <v>Link</v>
      </c>
      <c r="G65">
        <v>0.33333333333333331</v>
      </c>
      <c r="H65" t="s">
        <v>38</v>
      </c>
      <c r="I65" t="s">
        <v>39</v>
      </c>
      <c r="J65" t="s">
        <v>39</v>
      </c>
      <c r="K65">
        <v>0.6</v>
      </c>
      <c r="L65" t="s">
        <v>38</v>
      </c>
      <c r="M65" t="s">
        <v>38</v>
      </c>
      <c r="N65" t="s">
        <v>39</v>
      </c>
      <c r="O65" t="s">
        <v>39</v>
      </c>
      <c r="P65" t="s">
        <v>38</v>
      </c>
      <c r="Q65">
        <v>0.5</v>
      </c>
      <c r="R65" t="s">
        <v>39</v>
      </c>
      <c r="S65" t="s">
        <v>38</v>
      </c>
      <c r="T65">
        <v>0.75</v>
      </c>
      <c r="U65" t="s">
        <v>38</v>
      </c>
      <c r="V65" t="s">
        <v>39</v>
      </c>
      <c r="W65" t="s">
        <v>38</v>
      </c>
      <c r="X65" t="s">
        <v>38</v>
      </c>
      <c r="Y65">
        <v>0</v>
      </c>
      <c r="Z65" t="s">
        <v>39</v>
      </c>
      <c r="AA65" t="s">
        <v>39</v>
      </c>
      <c r="AB65">
        <v>0</v>
      </c>
      <c r="AC65" t="s">
        <v>39</v>
      </c>
      <c r="AD65" t="s">
        <v>39</v>
      </c>
      <c r="AE65" t="s">
        <v>39</v>
      </c>
      <c r="AF65" t="s">
        <v>39</v>
      </c>
    </row>
    <row r="66" spans="1:32" ht="15" customHeight="1" x14ac:dyDescent="0.25">
      <c r="A66">
        <v>103</v>
      </c>
      <c r="B66" t="s">
        <v>193</v>
      </c>
      <c r="C66" t="s">
        <v>35</v>
      </c>
      <c r="D66" t="s">
        <v>54</v>
      </c>
      <c r="E66" t="s">
        <v>194</v>
      </c>
      <c r="F66" s="14" t="str">
        <f>HYPERLINK("https://www.qity.be/qity-iqms", "Link")</f>
        <v>Link</v>
      </c>
      <c r="G66">
        <v>0.66666666666666663</v>
      </c>
      <c r="H66" t="s">
        <v>38</v>
      </c>
      <c r="I66" t="s">
        <v>38</v>
      </c>
      <c r="J66" t="s">
        <v>39</v>
      </c>
      <c r="K66">
        <v>1</v>
      </c>
      <c r="L66" t="s">
        <v>38</v>
      </c>
      <c r="M66" t="s">
        <v>38</v>
      </c>
      <c r="N66" t="s">
        <v>38</v>
      </c>
      <c r="O66" t="s">
        <v>38</v>
      </c>
      <c r="P66" t="s">
        <v>38</v>
      </c>
      <c r="Q66">
        <v>0.5</v>
      </c>
      <c r="R66" t="s">
        <v>39</v>
      </c>
      <c r="S66" t="s">
        <v>38</v>
      </c>
      <c r="T66">
        <v>0.5</v>
      </c>
      <c r="U66" t="s">
        <v>38</v>
      </c>
      <c r="V66" t="s">
        <v>39</v>
      </c>
      <c r="W66" t="s">
        <v>38</v>
      </c>
      <c r="X66" t="s">
        <v>39</v>
      </c>
      <c r="Z66" t="s">
        <v>39</v>
      </c>
      <c r="AA66" t="s">
        <v>39</v>
      </c>
      <c r="AC66" t="s">
        <v>38</v>
      </c>
      <c r="AD66" t="s">
        <v>38</v>
      </c>
      <c r="AE66" t="s">
        <v>38</v>
      </c>
      <c r="AF66" t="s">
        <v>38</v>
      </c>
    </row>
    <row r="67" spans="1:32" ht="15" customHeight="1" x14ac:dyDescent="0.25">
      <c r="A67">
        <v>92</v>
      </c>
      <c r="B67" t="s">
        <v>173</v>
      </c>
      <c r="C67" t="s">
        <v>35</v>
      </c>
      <c r="D67" t="s">
        <v>36</v>
      </c>
      <c r="E67" t="s">
        <v>174</v>
      </c>
      <c r="F67" s="14" t="str">
        <f>HYPERLINK("https://quality.eleapsoftware.com/medical-device-qms/", "Link")</f>
        <v>Link</v>
      </c>
      <c r="G67">
        <v>0.66666666666666663</v>
      </c>
      <c r="H67" t="s">
        <v>38</v>
      </c>
      <c r="I67" t="s">
        <v>38</v>
      </c>
      <c r="J67" t="s">
        <v>39</v>
      </c>
      <c r="K67">
        <v>0.8</v>
      </c>
      <c r="L67" t="s">
        <v>38</v>
      </c>
      <c r="M67" t="s">
        <v>38</v>
      </c>
      <c r="N67" t="s">
        <v>38</v>
      </c>
      <c r="O67" t="s">
        <v>39</v>
      </c>
      <c r="P67" t="s">
        <v>38</v>
      </c>
      <c r="Q67">
        <v>0.5</v>
      </c>
      <c r="R67" t="s">
        <v>39</v>
      </c>
      <c r="S67" t="s">
        <v>38</v>
      </c>
      <c r="T67">
        <v>0.25</v>
      </c>
      <c r="U67" t="s">
        <v>38</v>
      </c>
      <c r="V67" t="s">
        <v>39</v>
      </c>
      <c r="W67" t="s">
        <v>39</v>
      </c>
      <c r="X67" t="s">
        <v>39</v>
      </c>
      <c r="Y67">
        <v>0</v>
      </c>
      <c r="Z67" t="s">
        <v>39</v>
      </c>
      <c r="AA67" t="s">
        <v>39</v>
      </c>
      <c r="AB67">
        <v>0.75</v>
      </c>
      <c r="AC67" t="s">
        <v>39</v>
      </c>
      <c r="AD67" t="s">
        <v>38</v>
      </c>
      <c r="AE67" t="s">
        <v>38</v>
      </c>
      <c r="AF67" t="s">
        <v>38</v>
      </c>
    </row>
    <row r="68" spans="1:32" ht="15" customHeight="1" x14ac:dyDescent="0.25">
      <c r="A68">
        <v>27</v>
      </c>
      <c r="B68" t="s">
        <v>117</v>
      </c>
      <c r="C68" t="s">
        <v>35</v>
      </c>
      <c r="D68" t="s">
        <v>118</v>
      </c>
      <c r="E68" t="s">
        <v>119</v>
      </c>
      <c r="F68" s="14" t="str">
        <f>HYPERLINK("https://www.qmswrapper.com/eqms_for_MedDev", "Link")</f>
        <v>Link</v>
      </c>
      <c r="G68">
        <v>1</v>
      </c>
      <c r="H68" t="s">
        <v>38</v>
      </c>
      <c r="I68" t="s">
        <v>38</v>
      </c>
      <c r="J68" t="s">
        <v>38</v>
      </c>
      <c r="K68">
        <v>1</v>
      </c>
      <c r="L68" t="s">
        <v>38</v>
      </c>
      <c r="M68" t="s">
        <v>38</v>
      </c>
      <c r="N68" t="s">
        <v>38</v>
      </c>
      <c r="O68" t="s">
        <v>38</v>
      </c>
      <c r="P68" t="s">
        <v>38</v>
      </c>
      <c r="Q68">
        <v>0.5</v>
      </c>
      <c r="R68" t="s">
        <v>39</v>
      </c>
      <c r="S68" t="s">
        <v>38</v>
      </c>
      <c r="T68">
        <v>0.25</v>
      </c>
      <c r="U68" t="s">
        <v>38</v>
      </c>
      <c r="V68" t="s">
        <v>39</v>
      </c>
      <c r="W68" t="s">
        <v>39</v>
      </c>
      <c r="X68" t="s">
        <v>39</v>
      </c>
      <c r="Y68">
        <v>0</v>
      </c>
      <c r="Z68" t="s">
        <v>39</v>
      </c>
      <c r="AA68" t="s">
        <v>39</v>
      </c>
      <c r="AB68">
        <v>0.75</v>
      </c>
      <c r="AC68" t="s">
        <v>39</v>
      </c>
      <c r="AD68" t="s">
        <v>38</v>
      </c>
      <c r="AE68" t="s">
        <v>38</v>
      </c>
      <c r="AF68" t="s">
        <v>38</v>
      </c>
    </row>
    <row r="69" spans="1:32" ht="15" customHeight="1" x14ac:dyDescent="0.25">
      <c r="A69">
        <v>28</v>
      </c>
      <c r="B69" t="s">
        <v>120</v>
      </c>
      <c r="C69" t="s">
        <v>40</v>
      </c>
      <c r="D69" t="s">
        <v>36</v>
      </c>
      <c r="E69" t="s">
        <v>121</v>
      </c>
      <c r="F69" s="14" t="str">
        <f>HYPERLINK("https://qt9qms.com/quality-management-software.aspx", "Link")</f>
        <v>Link</v>
      </c>
      <c r="G69">
        <v>0.33333333333333331</v>
      </c>
      <c r="H69" t="s">
        <v>38</v>
      </c>
      <c r="I69" t="s">
        <v>39</v>
      </c>
      <c r="J69" t="s">
        <v>39</v>
      </c>
      <c r="K69">
        <v>1</v>
      </c>
      <c r="L69" t="s">
        <v>38</v>
      </c>
      <c r="M69" t="s">
        <v>38</v>
      </c>
      <c r="N69" t="s">
        <v>38</v>
      </c>
      <c r="O69" t="s">
        <v>38</v>
      </c>
      <c r="P69" t="s">
        <v>38</v>
      </c>
      <c r="Q69">
        <v>0.5</v>
      </c>
      <c r="R69" t="s">
        <v>39</v>
      </c>
      <c r="S69" t="s">
        <v>38</v>
      </c>
      <c r="T69">
        <v>0.75</v>
      </c>
      <c r="U69" t="s">
        <v>38</v>
      </c>
      <c r="V69" t="s">
        <v>39</v>
      </c>
      <c r="W69" t="s">
        <v>38</v>
      </c>
      <c r="X69" t="s">
        <v>38</v>
      </c>
      <c r="Y69">
        <v>0</v>
      </c>
      <c r="Z69" t="s">
        <v>39</v>
      </c>
      <c r="AA69" t="s">
        <v>39</v>
      </c>
      <c r="AB69">
        <v>0.25</v>
      </c>
      <c r="AC69" t="s">
        <v>38</v>
      </c>
      <c r="AD69" t="s">
        <v>39</v>
      </c>
      <c r="AE69" t="s">
        <v>39</v>
      </c>
      <c r="AF69" t="s">
        <v>39</v>
      </c>
    </row>
    <row r="70" spans="1:32" ht="15" customHeight="1" x14ac:dyDescent="0.25">
      <c r="A70">
        <v>51</v>
      </c>
      <c r="B70" t="s">
        <v>122</v>
      </c>
      <c r="C70" t="s">
        <v>51</v>
      </c>
      <c r="D70" t="s">
        <v>36</v>
      </c>
      <c r="E70" t="s">
        <v>123</v>
      </c>
      <c r="F70" s="14" t="str">
        <f>HYPERLINK("https://www.qualcy.com/", "Link")</f>
        <v>Link</v>
      </c>
      <c r="G70">
        <v>0.33333333333333331</v>
      </c>
      <c r="H70" t="s">
        <v>38</v>
      </c>
      <c r="I70" t="s">
        <v>39</v>
      </c>
      <c r="J70" t="s">
        <v>39</v>
      </c>
      <c r="K70">
        <v>0.6</v>
      </c>
      <c r="L70" t="s">
        <v>38</v>
      </c>
      <c r="M70" t="s">
        <v>38</v>
      </c>
      <c r="N70" t="s">
        <v>39</v>
      </c>
      <c r="O70" t="s">
        <v>38</v>
      </c>
      <c r="P70" t="s">
        <v>39</v>
      </c>
      <c r="Q70">
        <v>0.5</v>
      </c>
      <c r="R70" t="s">
        <v>39</v>
      </c>
      <c r="S70" t="s">
        <v>38</v>
      </c>
      <c r="T70">
        <v>0.75</v>
      </c>
      <c r="U70" t="s">
        <v>38</v>
      </c>
      <c r="V70" t="s">
        <v>39</v>
      </c>
      <c r="W70" t="s">
        <v>38</v>
      </c>
      <c r="X70" t="s">
        <v>38</v>
      </c>
      <c r="Y70">
        <v>0</v>
      </c>
      <c r="Z70" t="s">
        <v>39</v>
      </c>
      <c r="AA70" t="s">
        <v>39</v>
      </c>
      <c r="AB70">
        <v>0</v>
      </c>
      <c r="AC70" t="s">
        <v>39</v>
      </c>
      <c r="AD70" t="s">
        <v>39</v>
      </c>
      <c r="AE70" t="s">
        <v>39</v>
      </c>
      <c r="AF70" t="s">
        <v>39</v>
      </c>
    </row>
    <row r="71" spans="1:32" ht="15" customHeight="1" x14ac:dyDescent="0.25">
      <c r="A71">
        <v>67</v>
      </c>
      <c r="B71" t="s">
        <v>124</v>
      </c>
      <c r="C71" t="s">
        <v>35</v>
      </c>
      <c r="D71" t="s">
        <v>125</v>
      </c>
      <c r="E71" t="s">
        <v>126</v>
      </c>
      <c r="F71" s="14" t="str">
        <f>HYPERLINK("https://www.qualio.com/product", "Link")</f>
        <v>Link</v>
      </c>
      <c r="G71">
        <v>0.66666666666666663</v>
      </c>
      <c r="H71" t="s">
        <v>38</v>
      </c>
      <c r="I71" t="s">
        <v>38</v>
      </c>
      <c r="J71" t="s">
        <v>39</v>
      </c>
      <c r="K71">
        <v>1</v>
      </c>
      <c r="L71" t="s">
        <v>38</v>
      </c>
      <c r="M71" t="s">
        <v>38</v>
      </c>
      <c r="N71" t="s">
        <v>38</v>
      </c>
      <c r="O71" t="s">
        <v>38</v>
      </c>
      <c r="P71" t="s">
        <v>38</v>
      </c>
      <c r="Q71">
        <v>1</v>
      </c>
      <c r="R71" t="s">
        <v>38</v>
      </c>
      <c r="S71" t="s">
        <v>38</v>
      </c>
      <c r="T71">
        <v>0.5</v>
      </c>
      <c r="U71" t="s">
        <v>38</v>
      </c>
      <c r="V71" t="s">
        <v>38</v>
      </c>
      <c r="W71" t="s">
        <v>39</v>
      </c>
      <c r="X71" t="s">
        <v>39</v>
      </c>
      <c r="Y71">
        <v>0</v>
      </c>
      <c r="Z71" t="s">
        <v>39</v>
      </c>
      <c r="AA71" t="s">
        <v>39</v>
      </c>
      <c r="AB71">
        <v>0.75</v>
      </c>
      <c r="AC71" t="s">
        <v>39</v>
      </c>
      <c r="AD71" t="s">
        <v>38</v>
      </c>
      <c r="AE71" t="s">
        <v>38</v>
      </c>
      <c r="AF71" t="s">
        <v>38</v>
      </c>
    </row>
    <row r="72" spans="1:32" ht="15" customHeight="1" x14ac:dyDescent="0.25">
      <c r="A72">
        <v>96</v>
      </c>
      <c r="B72" t="s">
        <v>182</v>
      </c>
      <c r="C72" t="s">
        <v>40</v>
      </c>
      <c r="D72" t="s">
        <v>170</v>
      </c>
      <c r="E72" t="s">
        <v>182</v>
      </c>
      <c r="F72" s="14" t="str">
        <f>HYPERLINK("https://qualishare.fr/", "Link")</f>
        <v>Link</v>
      </c>
      <c r="G72">
        <v>0.66666666666666663</v>
      </c>
      <c r="H72" t="s">
        <v>38</v>
      </c>
      <c r="I72" t="s">
        <v>39</v>
      </c>
      <c r="J72" t="s">
        <v>38</v>
      </c>
      <c r="K72">
        <v>0.6</v>
      </c>
      <c r="L72" t="s">
        <v>38</v>
      </c>
      <c r="M72" t="s">
        <v>38</v>
      </c>
      <c r="N72" t="s">
        <v>38</v>
      </c>
      <c r="O72" t="s">
        <v>39</v>
      </c>
      <c r="P72" t="s">
        <v>39</v>
      </c>
      <c r="Q72">
        <v>1</v>
      </c>
      <c r="R72" t="s">
        <v>38</v>
      </c>
      <c r="S72" t="s">
        <v>38</v>
      </c>
      <c r="T72">
        <v>0.5</v>
      </c>
      <c r="U72" t="s">
        <v>38</v>
      </c>
      <c r="V72" t="s">
        <v>39</v>
      </c>
      <c r="W72" t="s">
        <v>39</v>
      </c>
      <c r="X72" t="s">
        <v>38</v>
      </c>
      <c r="Z72" t="s">
        <v>39</v>
      </c>
      <c r="AA72" t="s">
        <v>39</v>
      </c>
      <c r="AB72">
        <v>0.25</v>
      </c>
      <c r="AC72" t="s">
        <v>38</v>
      </c>
      <c r="AD72" t="s">
        <v>39</v>
      </c>
      <c r="AE72" t="s">
        <v>39</v>
      </c>
      <c r="AF72" t="s">
        <v>39</v>
      </c>
    </row>
    <row r="73" spans="1:32" ht="15" customHeight="1" x14ac:dyDescent="0.25">
      <c r="A73">
        <v>29</v>
      </c>
      <c r="B73" t="s">
        <v>127</v>
      </c>
      <c r="C73" t="s">
        <v>35</v>
      </c>
      <c r="D73" t="s">
        <v>128</v>
      </c>
      <c r="E73" t="s">
        <v>129</v>
      </c>
      <c r="F73" s="14" t="str">
        <f>HYPERLINK("https://qedge.sarjen.com/", "Link")</f>
        <v>Link</v>
      </c>
      <c r="G73">
        <v>0.33333333333333331</v>
      </c>
      <c r="H73" t="s">
        <v>38</v>
      </c>
      <c r="I73" t="s">
        <v>39</v>
      </c>
      <c r="J73" t="s">
        <v>39</v>
      </c>
      <c r="K73">
        <v>1</v>
      </c>
      <c r="L73" t="s">
        <v>38</v>
      </c>
      <c r="M73" t="s">
        <v>38</v>
      </c>
      <c r="N73" t="s">
        <v>38</v>
      </c>
      <c r="O73" t="s">
        <v>38</v>
      </c>
      <c r="P73" t="s">
        <v>38</v>
      </c>
      <c r="Q73">
        <v>0.5</v>
      </c>
      <c r="R73" t="s">
        <v>39</v>
      </c>
      <c r="S73" t="s">
        <v>38</v>
      </c>
      <c r="T73">
        <v>0.5</v>
      </c>
      <c r="U73" t="s">
        <v>38</v>
      </c>
      <c r="V73" t="s">
        <v>39</v>
      </c>
      <c r="W73" t="s">
        <v>38</v>
      </c>
      <c r="X73" t="s">
        <v>39</v>
      </c>
      <c r="Y73">
        <v>0</v>
      </c>
      <c r="Z73" t="s">
        <v>39</v>
      </c>
      <c r="AA73" t="s">
        <v>39</v>
      </c>
      <c r="AB73">
        <v>0</v>
      </c>
      <c r="AC73" t="s">
        <v>39</v>
      </c>
      <c r="AD73" t="s">
        <v>39</v>
      </c>
      <c r="AE73" t="s">
        <v>39</v>
      </c>
      <c r="AF73" t="s">
        <v>39</v>
      </c>
    </row>
    <row r="74" spans="1:32" ht="15" customHeight="1" x14ac:dyDescent="0.25">
      <c r="A74">
        <v>30</v>
      </c>
      <c r="B74" t="s">
        <v>130</v>
      </c>
      <c r="C74" t="s">
        <v>35</v>
      </c>
      <c r="D74" t="s">
        <v>36</v>
      </c>
      <c r="E74" t="s">
        <v>131</v>
      </c>
      <c r="F74" s="14" t="str">
        <f>HYPERLINK("https://www.qualityze.com/contact-us/", "Link")</f>
        <v>Link</v>
      </c>
      <c r="G74">
        <v>0.33333333333333331</v>
      </c>
      <c r="H74" t="s">
        <v>38</v>
      </c>
      <c r="I74" t="s">
        <v>39</v>
      </c>
      <c r="J74" t="s">
        <v>39</v>
      </c>
      <c r="K74">
        <v>1</v>
      </c>
      <c r="L74" t="s">
        <v>38</v>
      </c>
      <c r="M74" t="s">
        <v>38</v>
      </c>
      <c r="N74" t="s">
        <v>38</v>
      </c>
      <c r="O74" t="s">
        <v>38</v>
      </c>
      <c r="P74" t="s">
        <v>38</v>
      </c>
      <c r="Q74">
        <v>0.5</v>
      </c>
      <c r="R74" t="s">
        <v>39</v>
      </c>
      <c r="S74" t="s">
        <v>38</v>
      </c>
      <c r="T74">
        <v>0.75</v>
      </c>
      <c r="U74" t="s">
        <v>38</v>
      </c>
      <c r="V74" t="s">
        <v>39</v>
      </c>
      <c r="W74" t="s">
        <v>38</v>
      </c>
      <c r="X74" t="s">
        <v>38</v>
      </c>
      <c r="Y74">
        <v>0</v>
      </c>
      <c r="Z74" t="s">
        <v>39</v>
      </c>
      <c r="AA74" t="s">
        <v>39</v>
      </c>
      <c r="AB74">
        <v>0</v>
      </c>
      <c r="AC74" t="s">
        <v>39</v>
      </c>
      <c r="AD74" t="s">
        <v>39</v>
      </c>
      <c r="AE74" t="s">
        <v>39</v>
      </c>
      <c r="AF74" t="s">
        <v>39</v>
      </c>
    </row>
    <row r="75" spans="1:32" ht="15" customHeight="1" x14ac:dyDescent="0.25">
      <c r="A75">
        <v>31</v>
      </c>
      <c r="B75" t="s">
        <v>132</v>
      </c>
      <c r="C75" t="s">
        <v>51</v>
      </c>
      <c r="D75" t="s">
        <v>48</v>
      </c>
      <c r="E75" t="s">
        <v>133</v>
      </c>
      <c r="F75" s="14" t="str">
        <f>HYPERLINK("https://www.roxtra.com/", "Link")</f>
        <v>Link</v>
      </c>
      <c r="G75">
        <v>1</v>
      </c>
      <c r="H75" t="s">
        <v>38</v>
      </c>
      <c r="I75" t="s">
        <v>38</v>
      </c>
      <c r="J75" t="s">
        <v>38</v>
      </c>
      <c r="K75">
        <v>0.2</v>
      </c>
      <c r="L75" t="s">
        <v>39</v>
      </c>
      <c r="M75" t="s">
        <v>39</v>
      </c>
      <c r="N75" t="s">
        <v>38</v>
      </c>
      <c r="O75" t="s">
        <v>39</v>
      </c>
      <c r="P75" t="s">
        <v>39</v>
      </c>
      <c r="Q75">
        <v>0</v>
      </c>
      <c r="R75" t="s">
        <v>39</v>
      </c>
      <c r="S75" t="s">
        <v>39</v>
      </c>
      <c r="T75">
        <v>0</v>
      </c>
      <c r="U75" t="s">
        <v>39</v>
      </c>
      <c r="V75" t="s">
        <v>39</v>
      </c>
      <c r="W75" t="s">
        <v>39</v>
      </c>
      <c r="X75" t="s">
        <v>39</v>
      </c>
      <c r="Y75">
        <v>0</v>
      </c>
      <c r="Z75" t="s">
        <v>39</v>
      </c>
      <c r="AA75" t="s">
        <v>39</v>
      </c>
      <c r="AB75">
        <v>0</v>
      </c>
      <c r="AC75" t="s">
        <v>39</v>
      </c>
      <c r="AD75" t="s">
        <v>39</v>
      </c>
      <c r="AE75" t="s">
        <v>39</v>
      </c>
      <c r="AF75" t="s">
        <v>39</v>
      </c>
    </row>
    <row r="76" spans="1:32" ht="15" customHeight="1" x14ac:dyDescent="0.25">
      <c r="A76">
        <v>32</v>
      </c>
      <c r="B76" t="s">
        <v>134</v>
      </c>
      <c r="C76" t="s">
        <v>35</v>
      </c>
      <c r="D76" t="s">
        <v>54</v>
      </c>
      <c r="E76" t="s">
        <v>135</v>
      </c>
      <c r="F76" s="14" t="str">
        <f>HYPERLINK("https://www.scilife.io/", "Link")</f>
        <v>Link</v>
      </c>
      <c r="G76">
        <v>0.33333333333333331</v>
      </c>
      <c r="H76" t="s">
        <v>38</v>
      </c>
      <c r="I76" t="s">
        <v>39</v>
      </c>
      <c r="J76" t="s">
        <v>39</v>
      </c>
      <c r="K76">
        <v>1</v>
      </c>
      <c r="L76" t="s">
        <v>38</v>
      </c>
      <c r="M76" t="s">
        <v>38</v>
      </c>
      <c r="N76" t="s">
        <v>38</v>
      </c>
      <c r="O76" t="s">
        <v>38</v>
      </c>
      <c r="P76" t="s">
        <v>38</v>
      </c>
      <c r="Q76">
        <v>0.5</v>
      </c>
      <c r="R76" t="s">
        <v>39</v>
      </c>
      <c r="S76" t="s">
        <v>38</v>
      </c>
      <c r="T76">
        <v>0.75</v>
      </c>
      <c r="U76" t="s">
        <v>38</v>
      </c>
      <c r="V76" t="s">
        <v>39</v>
      </c>
      <c r="W76" t="s">
        <v>38</v>
      </c>
      <c r="X76" t="s">
        <v>38</v>
      </c>
      <c r="Y76">
        <v>0</v>
      </c>
      <c r="Z76" t="s">
        <v>39</v>
      </c>
      <c r="AA76" t="s">
        <v>39</v>
      </c>
      <c r="AB76">
        <v>0</v>
      </c>
      <c r="AC76" t="s">
        <v>39</v>
      </c>
      <c r="AD76" t="s">
        <v>39</v>
      </c>
      <c r="AE76" t="s">
        <v>39</v>
      </c>
      <c r="AF76" t="s">
        <v>39</v>
      </c>
    </row>
    <row r="77" spans="1:32" ht="15" customHeight="1" x14ac:dyDescent="0.25">
      <c r="A77">
        <v>35</v>
      </c>
      <c r="B77" t="s">
        <v>137</v>
      </c>
      <c r="C77" t="s">
        <v>40</v>
      </c>
      <c r="D77" t="s">
        <v>48</v>
      </c>
      <c r="E77" t="s">
        <v>138</v>
      </c>
      <c r="F77" s="14" t="str">
        <f>HYPERLINK("https://www.portalsystems.de/shareflex-online/", "Link")</f>
        <v>Link</v>
      </c>
      <c r="G77">
        <v>1</v>
      </c>
      <c r="H77" t="s">
        <v>38</v>
      </c>
      <c r="I77" t="s">
        <v>38</v>
      </c>
      <c r="J77" t="s">
        <v>38</v>
      </c>
      <c r="K77">
        <v>0</v>
      </c>
      <c r="L77" t="s">
        <v>39</v>
      </c>
      <c r="M77" t="s">
        <v>39</v>
      </c>
      <c r="N77" t="s">
        <v>39</v>
      </c>
      <c r="O77" t="s">
        <v>39</v>
      </c>
      <c r="P77" t="s">
        <v>39</v>
      </c>
      <c r="Q77">
        <v>0</v>
      </c>
      <c r="R77" t="s">
        <v>39</v>
      </c>
      <c r="S77" t="s">
        <v>39</v>
      </c>
      <c r="T77">
        <v>0</v>
      </c>
      <c r="U77" t="s">
        <v>39</v>
      </c>
      <c r="V77" t="s">
        <v>39</v>
      </c>
      <c r="W77" t="s">
        <v>39</v>
      </c>
      <c r="X77" t="s">
        <v>39</v>
      </c>
      <c r="Y77">
        <v>0</v>
      </c>
      <c r="Z77" t="s">
        <v>39</v>
      </c>
      <c r="AA77" t="s">
        <v>39</v>
      </c>
      <c r="AB77">
        <v>0</v>
      </c>
      <c r="AC77" t="s">
        <v>39</v>
      </c>
      <c r="AD77" t="s">
        <v>39</v>
      </c>
      <c r="AE77" t="s">
        <v>39</v>
      </c>
      <c r="AF77" t="s">
        <v>39</v>
      </c>
    </row>
    <row r="78" spans="1:32" ht="15" customHeight="1" x14ac:dyDescent="0.25">
      <c r="A78">
        <v>88</v>
      </c>
      <c r="B78" t="s">
        <v>139</v>
      </c>
      <c r="C78" t="s">
        <v>35</v>
      </c>
      <c r="D78" t="s">
        <v>36</v>
      </c>
      <c r="E78" t="s">
        <v>139</v>
      </c>
      <c r="F78" s="14" t="str">
        <f>HYPERLINK("https://www.sierralabs.com/", "Link")</f>
        <v>Link</v>
      </c>
      <c r="G78">
        <v>0.66666666666666663</v>
      </c>
      <c r="H78" t="s">
        <v>38</v>
      </c>
      <c r="I78" t="s">
        <v>38</v>
      </c>
      <c r="J78" t="s">
        <v>39</v>
      </c>
      <c r="K78">
        <v>0.6</v>
      </c>
      <c r="L78" t="s">
        <v>38</v>
      </c>
      <c r="M78" t="s">
        <v>38</v>
      </c>
      <c r="N78" t="s">
        <v>39</v>
      </c>
      <c r="O78" t="s">
        <v>38</v>
      </c>
      <c r="P78" t="s">
        <v>39</v>
      </c>
      <c r="Q78">
        <v>0.5</v>
      </c>
      <c r="R78" t="s">
        <v>39</v>
      </c>
      <c r="S78" t="s">
        <v>38</v>
      </c>
      <c r="T78">
        <v>0</v>
      </c>
      <c r="U78" t="s">
        <v>39</v>
      </c>
      <c r="V78" t="s">
        <v>39</v>
      </c>
      <c r="W78" t="s">
        <v>39</v>
      </c>
      <c r="X78" t="s">
        <v>39</v>
      </c>
      <c r="Y78">
        <v>0</v>
      </c>
      <c r="Z78" t="s">
        <v>39</v>
      </c>
      <c r="AA78" t="s">
        <v>39</v>
      </c>
      <c r="AB78">
        <v>0</v>
      </c>
      <c r="AC78" t="s">
        <v>39</v>
      </c>
      <c r="AD78" t="s">
        <v>39</v>
      </c>
      <c r="AE78" t="s">
        <v>39</v>
      </c>
      <c r="AF78" t="s">
        <v>39</v>
      </c>
    </row>
    <row r="79" spans="1:32" ht="15" customHeight="1" x14ac:dyDescent="0.25">
      <c r="A79">
        <v>36</v>
      </c>
      <c r="B79" t="s">
        <v>140</v>
      </c>
      <c r="C79" t="s">
        <v>35</v>
      </c>
      <c r="D79" t="s">
        <v>141</v>
      </c>
      <c r="E79" t="s">
        <v>142</v>
      </c>
      <c r="F79" s="14" t="str">
        <f>HYPERLINK("https://www.simplerqms.com/validation-and-certification/", "Link")</f>
        <v>Link</v>
      </c>
      <c r="G79">
        <v>0.66666666666666663</v>
      </c>
      <c r="H79" t="s">
        <v>38</v>
      </c>
      <c r="I79" t="s">
        <v>38</v>
      </c>
      <c r="J79" t="s">
        <v>39</v>
      </c>
      <c r="K79">
        <v>1</v>
      </c>
      <c r="L79" t="s">
        <v>38</v>
      </c>
      <c r="M79" t="s">
        <v>38</v>
      </c>
      <c r="N79" t="s">
        <v>38</v>
      </c>
      <c r="O79" t="s">
        <v>38</v>
      </c>
      <c r="P79" t="s">
        <v>38</v>
      </c>
      <c r="Q79">
        <v>0.5</v>
      </c>
      <c r="R79" t="s">
        <v>39</v>
      </c>
      <c r="S79" t="s">
        <v>38</v>
      </c>
      <c r="T79">
        <v>0.5</v>
      </c>
      <c r="U79" t="s">
        <v>38</v>
      </c>
      <c r="V79" t="s">
        <v>39</v>
      </c>
      <c r="W79" t="s">
        <v>38</v>
      </c>
      <c r="X79" t="s">
        <v>39</v>
      </c>
      <c r="Y79">
        <v>0</v>
      </c>
      <c r="Z79" t="s">
        <v>39</v>
      </c>
      <c r="AA79" t="s">
        <v>39</v>
      </c>
      <c r="AB79">
        <v>0.25</v>
      </c>
      <c r="AC79" t="s">
        <v>39</v>
      </c>
      <c r="AD79" t="s">
        <v>39</v>
      </c>
      <c r="AE79" t="s">
        <v>38</v>
      </c>
      <c r="AF79" t="s">
        <v>39</v>
      </c>
    </row>
    <row r="80" spans="1:32" ht="15" customHeight="1" x14ac:dyDescent="0.25">
      <c r="A80">
        <v>85</v>
      </c>
      <c r="B80" t="s">
        <v>164</v>
      </c>
      <c r="C80" t="s">
        <v>35</v>
      </c>
      <c r="D80" t="s">
        <v>59</v>
      </c>
      <c r="E80" t="s">
        <v>136</v>
      </c>
      <c r="F80" s="14" t="str">
        <f>HYPERLINK("https://smart-eye.io/", "Link")</f>
        <v>Link</v>
      </c>
      <c r="G80">
        <v>0.66666666666666663</v>
      </c>
      <c r="H80" t="s">
        <v>38</v>
      </c>
      <c r="I80" t="s">
        <v>38</v>
      </c>
      <c r="J80" t="s">
        <v>39</v>
      </c>
      <c r="K80">
        <v>0.8</v>
      </c>
      <c r="L80" t="s">
        <v>38</v>
      </c>
      <c r="M80" t="s">
        <v>38</v>
      </c>
      <c r="N80" t="s">
        <v>38</v>
      </c>
      <c r="O80" t="s">
        <v>39</v>
      </c>
      <c r="P80" t="s">
        <v>38</v>
      </c>
      <c r="Q80">
        <v>0</v>
      </c>
      <c r="R80" t="s">
        <v>39</v>
      </c>
      <c r="S80" t="s">
        <v>39</v>
      </c>
      <c r="T80">
        <v>0.25</v>
      </c>
      <c r="U80" t="s">
        <v>38</v>
      </c>
      <c r="V80" t="s">
        <v>39</v>
      </c>
      <c r="W80" t="s">
        <v>39</v>
      </c>
      <c r="X80" t="s">
        <v>39</v>
      </c>
      <c r="Y80">
        <v>0</v>
      </c>
      <c r="Z80" t="s">
        <v>39</v>
      </c>
      <c r="AA80" t="s">
        <v>39</v>
      </c>
      <c r="AB80">
        <v>0.5</v>
      </c>
      <c r="AC80" t="s">
        <v>39</v>
      </c>
      <c r="AD80" t="s">
        <v>38</v>
      </c>
      <c r="AE80" t="s">
        <v>38</v>
      </c>
      <c r="AF80" t="s">
        <v>39</v>
      </c>
    </row>
    <row r="81" spans="1:32" ht="15" customHeight="1" x14ac:dyDescent="0.25">
      <c r="A81">
        <v>37</v>
      </c>
      <c r="B81" t="s">
        <v>143</v>
      </c>
      <c r="C81" t="s">
        <v>40</v>
      </c>
      <c r="D81" t="s">
        <v>48</v>
      </c>
      <c r="E81" t="s">
        <v>144</v>
      </c>
      <c r="F81" s="14" t="str">
        <f>HYPERLINK("https://www.cwa.de/", "Link")</f>
        <v>Link</v>
      </c>
      <c r="G81">
        <v>0.66666666666666663</v>
      </c>
      <c r="H81" t="s">
        <v>38</v>
      </c>
      <c r="I81" t="s">
        <v>39</v>
      </c>
      <c r="J81" t="s">
        <v>38</v>
      </c>
      <c r="K81">
        <v>1</v>
      </c>
      <c r="L81" t="s">
        <v>38</v>
      </c>
      <c r="M81" t="s">
        <v>38</v>
      </c>
      <c r="N81" t="s">
        <v>38</v>
      </c>
      <c r="O81" t="s">
        <v>38</v>
      </c>
      <c r="P81" t="s">
        <v>38</v>
      </c>
      <c r="Q81">
        <v>1</v>
      </c>
      <c r="R81" t="s">
        <v>38</v>
      </c>
      <c r="S81" t="s">
        <v>38</v>
      </c>
      <c r="T81">
        <v>0.75</v>
      </c>
      <c r="U81" t="s">
        <v>38</v>
      </c>
      <c r="V81" t="s">
        <v>39</v>
      </c>
      <c r="W81" t="s">
        <v>38</v>
      </c>
      <c r="X81" t="s">
        <v>38</v>
      </c>
      <c r="Y81">
        <v>1</v>
      </c>
      <c r="Z81" t="s">
        <v>38</v>
      </c>
      <c r="AA81" t="s">
        <v>38</v>
      </c>
      <c r="AB81">
        <v>0.25</v>
      </c>
      <c r="AC81" t="s">
        <v>38</v>
      </c>
      <c r="AD81" t="s">
        <v>39</v>
      </c>
      <c r="AE81" t="s">
        <v>39</v>
      </c>
      <c r="AF81" t="s">
        <v>39</v>
      </c>
    </row>
    <row r="82" spans="1:32" ht="15" customHeight="1" x14ac:dyDescent="0.25">
      <c r="A82">
        <v>38</v>
      </c>
      <c r="B82" t="s">
        <v>145</v>
      </c>
      <c r="C82" t="s">
        <v>35</v>
      </c>
      <c r="D82" t="s">
        <v>36</v>
      </c>
      <c r="E82" t="s">
        <v>146</v>
      </c>
      <c r="F82" s="14" t="str">
        <f>HYPERLINK("https://www.pilgrimquality.com/solutions", "Link")</f>
        <v>Link</v>
      </c>
      <c r="G82">
        <v>0.33333333333333331</v>
      </c>
      <c r="H82" t="s">
        <v>38</v>
      </c>
      <c r="I82" t="s">
        <v>39</v>
      </c>
      <c r="J82" t="s">
        <v>39</v>
      </c>
      <c r="K82">
        <v>1</v>
      </c>
      <c r="L82" t="s">
        <v>38</v>
      </c>
      <c r="M82" t="s">
        <v>38</v>
      </c>
      <c r="N82" t="s">
        <v>38</v>
      </c>
      <c r="O82" t="s">
        <v>38</v>
      </c>
      <c r="P82" t="s">
        <v>38</v>
      </c>
      <c r="Q82">
        <v>0.5</v>
      </c>
      <c r="R82" t="s">
        <v>39</v>
      </c>
      <c r="S82" t="s">
        <v>38</v>
      </c>
      <c r="T82">
        <v>0.75</v>
      </c>
      <c r="U82" t="s">
        <v>38</v>
      </c>
      <c r="V82" t="s">
        <v>39</v>
      </c>
      <c r="W82" t="s">
        <v>38</v>
      </c>
      <c r="X82" t="s">
        <v>38</v>
      </c>
      <c r="Y82">
        <v>0</v>
      </c>
      <c r="Z82" t="s">
        <v>39</v>
      </c>
      <c r="AA82" t="s">
        <v>39</v>
      </c>
      <c r="AB82">
        <v>0</v>
      </c>
      <c r="AC82" t="s">
        <v>39</v>
      </c>
      <c r="AD82" t="s">
        <v>39</v>
      </c>
      <c r="AE82" t="s">
        <v>39</v>
      </c>
      <c r="AF82" t="s">
        <v>39</v>
      </c>
    </row>
    <row r="83" spans="1:32" ht="15" customHeight="1" x14ac:dyDescent="0.25">
      <c r="A83">
        <v>39</v>
      </c>
      <c r="B83" t="s">
        <v>147</v>
      </c>
      <c r="C83" t="s">
        <v>40</v>
      </c>
      <c r="D83" t="s">
        <v>148</v>
      </c>
      <c r="E83" t="s">
        <v>147</v>
      </c>
      <c r="F83" s="14" t="str">
        <f>HYPERLINK("https://softcomply.com/", "Link")</f>
        <v>Link</v>
      </c>
      <c r="G83">
        <v>0.66666666666666663</v>
      </c>
      <c r="H83" t="s">
        <v>38</v>
      </c>
      <c r="I83" t="s">
        <v>38</v>
      </c>
      <c r="J83" t="s">
        <v>39</v>
      </c>
      <c r="K83">
        <v>0.8</v>
      </c>
      <c r="L83" t="s">
        <v>38</v>
      </c>
      <c r="M83" t="s">
        <v>38</v>
      </c>
      <c r="N83" t="s">
        <v>38</v>
      </c>
      <c r="O83" t="s">
        <v>39</v>
      </c>
      <c r="P83" t="s">
        <v>38</v>
      </c>
      <c r="Q83">
        <v>0.5</v>
      </c>
      <c r="R83" t="s">
        <v>39</v>
      </c>
      <c r="S83" t="s">
        <v>38</v>
      </c>
      <c r="T83">
        <v>0</v>
      </c>
      <c r="U83" t="s">
        <v>39</v>
      </c>
      <c r="V83" t="s">
        <v>39</v>
      </c>
      <c r="W83" t="s">
        <v>39</v>
      </c>
      <c r="X83" t="s">
        <v>39</v>
      </c>
      <c r="Y83">
        <v>0</v>
      </c>
      <c r="Z83" t="s">
        <v>39</v>
      </c>
      <c r="AA83" t="s">
        <v>39</v>
      </c>
      <c r="AB83">
        <v>0</v>
      </c>
      <c r="AC83" t="s">
        <v>39</v>
      </c>
      <c r="AD83" t="s">
        <v>39</v>
      </c>
      <c r="AE83" t="s">
        <v>39</v>
      </c>
      <c r="AF83" t="s">
        <v>39</v>
      </c>
    </row>
    <row r="84" spans="1:32" ht="15" customHeight="1" x14ac:dyDescent="0.25">
      <c r="A84">
        <v>40</v>
      </c>
      <c r="B84" t="s">
        <v>149</v>
      </c>
      <c r="C84" t="s">
        <v>35</v>
      </c>
      <c r="D84" t="s">
        <v>150</v>
      </c>
      <c r="E84" t="s">
        <v>151</v>
      </c>
      <c r="F84" s="14" t="str">
        <f>HYPERLINK("https://www.softexpert.com/de/solucao/korporatives-qualitatsmanagement-eqm/", "Link")</f>
        <v>Link</v>
      </c>
      <c r="G84">
        <v>0.66666666666666663</v>
      </c>
      <c r="H84" t="s">
        <v>38</v>
      </c>
      <c r="I84" t="s">
        <v>39</v>
      </c>
      <c r="J84" t="s">
        <v>38</v>
      </c>
      <c r="K84">
        <v>1</v>
      </c>
      <c r="L84" t="s">
        <v>38</v>
      </c>
      <c r="M84" t="s">
        <v>38</v>
      </c>
      <c r="N84" t="s">
        <v>38</v>
      </c>
      <c r="O84" t="s">
        <v>38</v>
      </c>
      <c r="P84" t="s">
        <v>38</v>
      </c>
      <c r="Q84">
        <v>0.5</v>
      </c>
      <c r="R84" t="s">
        <v>39</v>
      </c>
      <c r="S84" t="s">
        <v>38</v>
      </c>
      <c r="T84">
        <v>0.75</v>
      </c>
      <c r="U84" t="s">
        <v>38</v>
      </c>
      <c r="V84" t="s">
        <v>39</v>
      </c>
      <c r="W84" t="s">
        <v>38</v>
      </c>
      <c r="X84" t="s">
        <v>38</v>
      </c>
      <c r="Z84" t="s">
        <v>39</v>
      </c>
      <c r="AA84" t="s">
        <v>39</v>
      </c>
      <c r="AB84">
        <v>0.25</v>
      </c>
      <c r="AC84" t="s">
        <v>38</v>
      </c>
      <c r="AD84" t="s">
        <v>39</v>
      </c>
      <c r="AE84" t="s">
        <v>39</v>
      </c>
      <c r="AF84" t="s">
        <v>39</v>
      </c>
    </row>
    <row r="85" spans="1:32" ht="15" customHeight="1" x14ac:dyDescent="0.25">
      <c r="A85">
        <v>43</v>
      </c>
      <c r="B85" t="s">
        <v>152</v>
      </c>
      <c r="C85" t="s">
        <v>35</v>
      </c>
      <c r="D85" t="s">
        <v>153</v>
      </c>
      <c r="E85" t="s">
        <v>154</v>
      </c>
      <c r="F85" s="14" t="str">
        <f>HYPERLINK("https://www.stendard.io/index/solution", "Link")</f>
        <v>Link</v>
      </c>
      <c r="G85">
        <v>0.66666666666666663</v>
      </c>
      <c r="H85" t="s">
        <v>38</v>
      </c>
      <c r="I85" t="s">
        <v>38</v>
      </c>
      <c r="J85" t="s">
        <v>39</v>
      </c>
      <c r="K85">
        <v>0.2</v>
      </c>
      <c r="L85" t="s">
        <v>39</v>
      </c>
      <c r="M85" t="s">
        <v>39</v>
      </c>
      <c r="N85" t="s">
        <v>39</v>
      </c>
      <c r="O85" t="s">
        <v>38</v>
      </c>
      <c r="P85" t="s">
        <v>39</v>
      </c>
      <c r="Q85">
        <v>0.5</v>
      </c>
      <c r="R85" t="s">
        <v>39</v>
      </c>
      <c r="S85" t="s">
        <v>38</v>
      </c>
      <c r="T85">
        <v>0</v>
      </c>
      <c r="U85" t="s">
        <v>39</v>
      </c>
      <c r="V85" t="s">
        <v>39</v>
      </c>
      <c r="W85" t="s">
        <v>39</v>
      </c>
      <c r="X85" t="s">
        <v>39</v>
      </c>
      <c r="Z85" t="s">
        <v>39</v>
      </c>
      <c r="AA85" t="s">
        <v>39</v>
      </c>
      <c r="AB85">
        <v>0</v>
      </c>
      <c r="AC85" t="s">
        <v>39</v>
      </c>
      <c r="AD85" t="s">
        <v>39</v>
      </c>
      <c r="AE85" t="s">
        <v>39</v>
      </c>
      <c r="AF85" t="s">
        <v>39</v>
      </c>
    </row>
    <row r="86" spans="1:32" ht="15" customHeight="1" x14ac:dyDescent="0.25">
      <c r="A86">
        <v>89</v>
      </c>
      <c r="B86" t="s">
        <v>169</v>
      </c>
      <c r="C86" t="s">
        <v>35</v>
      </c>
      <c r="D86" t="s">
        <v>170</v>
      </c>
      <c r="E86" t="s">
        <v>169</v>
      </c>
      <c r="F86" s="14" t="str">
        <f>HYPERLINK("https://tracex.co/", "Link")</f>
        <v>Link</v>
      </c>
      <c r="G86">
        <v>0.33333333333333331</v>
      </c>
      <c r="H86" t="s">
        <v>38</v>
      </c>
      <c r="I86" t="s">
        <v>39</v>
      </c>
      <c r="J86" t="s">
        <v>39</v>
      </c>
      <c r="K86">
        <v>0.4</v>
      </c>
      <c r="L86" t="s">
        <v>38</v>
      </c>
      <c r="M86" t="s">
        <v>39</v>
      </c>
      <c r="N86" t="s">
        <v>38</v>
      </c>
      <c r="O86" t="s">
        <v>39</v>
      </c>
      <c r="P86" t="s">
        <v>39</v>
      </c>
      <c r="Q86">
        <v>0.5</v>
      </c>
      <c r="R86" t="s">
        <v>39</v>
      </c>
      <c r="S86" t="s">
        <v>38</v>
      </c>
      <c r="T86">
        <v>0</v>
      </c>
      <c r="U86" t="s">
        <v>39</v>
      </c>
      <c r="V86" t="s">
        <v>39</v>
      </c>
      <c r="W86" t="s">
        <v>39</v>
      </c>
      <c r="X86" t="s">
        <v>39</v>
      </c>
      <c r="Z86" t="s">
        <v>39</v>
      </c>
      <c r="AA86" t="s">
        <v>39</v>
      </c>
      <c r="AB86">
        <v>1</v>
      </c>
      <c r="AC86" t="s">
        <v>38</v>
      </c>
      <c r="AD86" t="s">
        <v>38</v>
      </c>
      <c r="AE86" t="s">
        <v>38</v>
      </c>
      <c r="AF86" t="s">
        <v>38</v>
      </c>
    </row>
    <row r="87" spans="1:32" ht="15" customHeight="1" x14ac:dyDescent="0.25">
      <c r="A87">
        <v>44</v>
      </c>
      <c r="B87" t="s">
        <v>155</v>
      </c>
      <c r="C87" t="s">
        <v>40</v>
      </c>
      <c r="D87" t="s">
        <v>36</v>
      </c>
      <c r="E87" t="s">
        <v>156</v>
      </c>
      <c r="F87" s="14" t="str">
        <f>HYPERLINK("https://www.spartasystems.com/products/trackwise-qms", "Link")</f>
        <v>Link</v>
      </c>
      <c r="G87">
        <v>0.33333333333333331</v>
      </c>
      <c r="H87" t="s">
        <v>38</v>
      </c>
      <c r="I87" t="s">
        <v>39</v>
      </c>
      <c r="J87" t="s">
        <v>39</v>
      </c>
      <c r="K87">
        <v>1</v>
      </c>
      <c r="L87" t="s">
        <v>38</v>
      </c>
      <c r="M87" t="s">
        <v>38</v>
      </c>
      <c r="N87" t="s">
        <v>38</v>
      </c>
      <c r="O87" t="s">
        <v>38</v>
      </c>
      <c r="P87" t="s">
        <v>38</v>
      </c>
      <c r="Q87">
        <v>0.5</v>
      </c>
      <c r="R87" t="s">
        <v>39</v>
      </c>
      <c r="S87" t="s">
        <v>38</v>
      </c>
      <c r="T87">
        <v>0.25</v>
      </c>
      <c r="U87" t="s">
        <v>38</v>
      </c>
      <c r="V87" t="s">
        <v>39</v>
      </c>
      <c r="W87" t="s">
        <v>39</v>
      </c>
      <c r="X87" t="s">
        <v>39</v>
      </c>
      <c r="Z87" t="s">
        <v>39</v>
      </c>
      <c r="AA87" t="s">
        <v>39</v>
      </c>
      <c r="AB87">
        <v>0</v>
      </c>
      <c r="AC87" t="s">
        <v>39</v>
      </c>
      <c r="AD87" t="s">
        <v>39</v>
      </c>
      <c r="AE87" t="s">
        <v>39</v>
      </c>
      <c r="AF87" t="s">
        <v>39</v>
      </c>
    </row>
    <row r="88" spans="1:32" ht="15" customHeight="1" thickBot="1" x14ac:dyDescent="0.3">
      <c r="A88">
        <v>52</v>
      </c>
      <c r="B88" t="s">
        <v>157</v>
      </c>
      <c r="C88" t="s">
        <v>35</v>
      </c>
      <c r="D88" t="s">
        <v>36</v>
      </c>
      <c r="E88" t="s">
        <v>158</v>
      </c>
      <c r="F88" s="14" t="str">
        <f>HYPERLINK("https://www.veeva.com/", "Link")</f>
        <v>Link</v>
      </c>
      <c r="G88">
        <v>0.33333333333333331</v>
      </c>
      <c r="H88" t="s">
        <v>38</v>
      </c>
      <c r="I88" t="s">
        <v>39</v>
      </c>
      <c r="J88" t="s">
        <v>39</v>
      </c>
      <c r="K88">
        <v>1</v>
      </c>
      <c r="L88" t="s">
        <v>38</v>
      </c>
      <c r="M88" t="s">
        <v>38</v>
      </c>
      <c r="N88" t="s">
        <v>38</v>
      </c>
      <c r="O88" t="s">
        <v>38</v>
      </c>
      <c r="P88" t="s">
        <v>38</v>
      </c>
      <c r="Q88" s="15">
        <v>0.5</v>
      </c>
      <c r="R88" t="s">
        <v>39</v>
      </c>
      <c r="S88" t="s">
        <v>38</v>
      </c>
      <c r="T88">
        <v>0.5</v>
      </c>
      <c r="U88" t="s">
        <v>38</v>
      </c>
      <c r="V88" t="s">
        <v>38</v>
      </c>
      <c r="W88" t="s">
        <v>39</v>
      </c>
      <c r="X88" t="s">
        <v>39</v>
      </c>
      <c r="Z88" t="s">
        <v>39</v>
      </c>
      <c r="AA88" t="s">
        <v>39</v>
      </c>
      <c r="AC88" t="s">
        <v>39</v>
      </c>
      <c r="AD88" t="s">
        <v>39</v>
      </c>
      <c r="AE88" t="s">
        <v>39</v>
      </c>
      <c r="AF88" t="s">
        <v>39</v>
      </c>
    </row>
    <row r="89" spans="1:32" ht="15" customHeight="1" thickTop="1" x14ac:dyDescent="0.25">
      <c r="A89">
        <v>45</v>
      </c>
      <c r="B89" t="s">
        <v>159</v>
      </c>
      <c r="C89" t="s">
        <v>51</v>
      </c>
      <c r="D89" t="s">
        <v>48</v>
      </c>
      <c r="E89" t="s">
        <v>160</v>
      </c>
      <c r="F89" s="14" t="str">
        <f>HYPERLINK("https://www.viflow.de/de/viflow-7.html", "Link")</f>
        <v>Link</v>
      </c>
      <c r="G89">
        <v>0.33333333333333331</v>
      </c>
      <c r="H89" t="s">
        <v>39</v>
      </c>
      <c r="I89" t="s">
        <v>39</v>
      </c>
      <c r="J89" t="s">
        <v>38</v>
      </c>
      <c r="K89">
        <v>0</v>
      </c>
      <c r="L89" t="s">
        <v>39</v>
      </c>
      <c r="M89" t="s">
        <v>39</v>
      </c>
      <c r="N89" t="s">
        <v>39</v>
      </c>
      <c r="O89" t="s">
        <v>39</v>
      </c>
      <c r="P89" t="s">
        <v>39</v>
      </c>
      <c r="Q89">
        <v>0.5</v>
      </c>
      <c r="R89" t="s">
        <v>38</v>
      </c>
      <c r="S89" t="s">
        <v>39</v>
      </c>
      <c r="T89">
        <v>0</v>
      </c>
      <c r="U89" t="s">
        <v>39</v>
      </c>
      <c r="V89" t="s">
        <v>39</v>
      </c>
      <c r="W89" t="s">
        <v>39</v>
      </c>
      <c r="X89" t="s">
        <v>39</v>
      </c>
      <c r="Z89" t="s">
        <v>39</v>
      </c>
      <c r="AA89" t="s">
        <v>39</v>
      </c>
      <c r="AB89">
        <v>0</v>
      </c>
      <c r="AC89" t="s">
        <v>39</v>
      </c>
      <c r="AD89" t="s">
        <v>39</v>
      </c>
      <c r="AE89" t="s">
        <v>39</v>
      </c>
      <c r="AF89" t="s">
        <v>39</v>
      </c>
    </row>
    <row r="90" spans="1:32" ht="15" customHeight="1" x14ac:dyDescent="0.25">
      <c r="A90">
        <v>83</v>
      </c>
      <c r="B90" t="s">
        <v>167</v>
      </c>
      <c r="C90" t="s">
        <v>51</v>
      </c>
      <c r="D90" t="s">
        <v>48</v>
      </c>
      <c r="E90" t="s">
        <v>168</v>
      </c>
      <c r="F90" s="14" t="str">
        <f>HYPERLINK("https://wissintra.dbeyond.group/de", "Link")</f>
        <v>Link</v>
      </c>
      <c r="G90">
        <v>0.66666666666666663</v>
      </c>
      <c r="H90" t="s">
        <v>38</v>
      </c>
      <c r="I90" t="s">
        <v>39</v>
      </c>
      <c r="J90" t="s">
        <v>38</v>
      </c>
      <c r="K90">
        <v>0.4</v>
      </c>
      <c r="L90" t="s">
        <v>39</v>
      </c>
      <c r="M90" t="s">
        <v>39</v>
      </c>
      <c r="N90" t="s">
        <v>38</v>
      </c>
      <c r="O90" t="s">
        <v>38</v>
      </c>
      <c r="P90" t="s">
        <v>39</v>
      </c>
      <c r="Q90">
        <v>0</v>
      </c>
      <c r="R90" t="s">
        <v>39</v>
      </c>
      <c r="S90" t="s">
        <v>39</v>
      </c>
      <c r="T90">
        <v>0</v>
      </c>
      <c r="U90" t="s">
        <v>39</v>
      </c>
      <c r="V90" t="s">
        <v>39</v>
      </c>
      <c r="W90" t="s">
        <v>39</v>
      </c>
      <c r="X90" t="s">
        <v>39</v>
      </c>
      <c r="Z90" t="s">
        <v>39</v>
      </c>
      <c r="AA90" t="s">
        <v>39</v>
      </c>
      <c r="AB90">
        <v>0</v>
      </c>
      <c r="AC90" t="s">
        <v>39</v>
      </c>
      <c r="AD90" t="s">
        <v>39</v>
      </c>
      <c r="AE90" t="s">
        <v>39</v>
      </c>
      <c r="AF90" t="s">
        <v>39</v>
      </c>
    </row>
  </sheetData>
  <sheetProtection algorithmName="SHA-512" hashValue="JfS9HJ+TszB83Pg2cesACYom/iwxZKSId8Tn6Yf/pb1MqthS+CDg1M4Lym6qy708ndyywAdDjStaMxbDU0nwLg==" saltValue="7nvYoV6qAhYOAqLP0w+88w==" spinCount="100000" sheet="1" scenarios="1" formatColumns="0" sort="0" autoFilter="0"/>
  <conditionalFormatting sqref="A18:E83 G18:XFD83 G84:K84 Q84:T84 A85:E85 G85:XFD85 G86:X90 Z86:AA90 AC86:AF90 AB89:AB90 A91:XFD1048576">
    <cfRule type="containsText" dxfId="19" priority="36" operator="containsText" text="Ja">
      <formula>NOT(ISERROR(SEARCH("Ja",A18)))</formula>
    </cfRule>
  </conditionalFormatting>
  <conditionalFormatting sqref="C84 C86:C90">
    <cfRule type="containsText" dxfId="18" priority="13" operator="containsText" text="Ja">
      <formula>NOT(ISERROR(SEARCH("Ja",C84)))</formula>
    </cfRule>
  </conditionalFormatting>
  <conditionalFormatting sqref="L84">
    <cfRule type="containsText" dxfId="17" priority="32" operator="containsText" text="Ja">
      <formula>NOT(ISERROR(SEARCH("Ja",L84)))</formula>
    </cfRule>
  </conditionalFormatting>
  <conditionalFormatting sqref="M84">
    <cfRule type="containsText" dxfId="16" priority="31" operator="containsText" text="Ja">
      <formula>NOT(ISERROR(SEARCH("Ja",M84)))</formula>
    </cfRule>
  </conditionalFormatting>
  <conditionalFormatting sqref="N84">
    <cfRule type="containsText" dxfId="15" priority="30" operator="containsText" text="Ja">
      <formula>NOT(ISERROR(SEARCH("Ja",N84)))</formula>
    </cfRule>
  </conditionalFormatting>
  <conditionalFormatting sqref="O84">
    <cfRule type="containsText" dxfId="14" priority="28" operator="containsText" text="Ja">
      <formula>NOT(ISERROR(SEARCH("Ja",O84)))</formula>
    </cfRule>
  </conditionalFormatting>
  <conditionalFormatting sqref="P84">
    <cfRule type="containsText" dxfId="13" priority="29" operator="containsText" text="Ja">
      <formula>NOT(ISERROR(SEARCH("Ja",P84)))</formula>
    </cfRule>
  </conditionalFormatting>
  <conditionalFormatting sqref="U84">
    <cfRule type="containsText" dxfId="12" priority="27" operator="containsText" text="Ja">
      <formula>NOT(ISERROR(SEARCH("Ja",U84)))</formula>
    </cfRule>
  </conditionalFormatting>
  <conditionalFormatting sqref="V84">
    <cfRule type="containsText" dxfId="11" priority="24" operator="containsText" text="Ja">
      <formula>NOT(ISERROR(SEARCH("Ja",V84)))</formula>
    </cfRule>
  </conditionalFormatting>
  <conditionalFormatting sqref="W84">
    <cfRule type="containsText" dxfId="10" priority="26" operator="containsText" text="Ja">
      <formula>NOT(ISERROR(SEARCH("Ja",W84)))</formula>
    </cfRule>
  </conditionalFormatting>
  <conditionalFormatting sqref="X84">
    <cfRule type="containsText" dxfId="9" priority="25" operator="containsText" text="Ja">
      <formula>NOT(ISERROR(SEARCH("Ja",X84)))</formula>
    </cfRule>
  </conditionalFormatting>
  <conditionalFormatting sqref="Y17 AB17 K17 G17 T17 Q17">
    <cfRule type="dataBar" priority="35">
      <dataBar showValue="0">
        <cfvo type="num" val="0"/>
        <cfvo type="num" val="1"/>
        <color rgb="FF63C384"/>
      </dataBar>
      <extLst>
        <ext xmlns:x14="http://schemas.microsoft.com/office/spreadsheetml/2009/9/main" uri="{B025F937-C7B1-47D3-B67F-A62EFF666E3E}">
          <x14:id>{E2EA69A0-8686-41D1-9F77-31C1CBB4EC31}</x14:id>
        </ext>
      </extLst>
    </cfRule>
  </conditionalFormatting>
  <conditionalFormatting sqref="Y90">
    <cfRule type="containsText" dxfId="8" priority="10" operator="containsText" text="Ja">
      <formula>NOT(ISERROR(SEARCH("Ja",Y90)))</formula>
    </cfRule>
  </conditionalFormatting>
  <conditionalFormatting sqref="Z84">
    <cfRule type="containsText" dxfId="7" priority="23" operator="containsText" text="Ja">
      <formula>NOT(ISERROR(SEARCH("Ja",Z84)))</formula>
    </cfRule>
  </conditionalFormatting>
  <conditionalFormatting sqref="AA1:AA16 X1:X16 J1:J16 F1:F16 S1:S16 P1:P16">
    <cfRule type="dataBar" priority="34">
      <dataBar showValue="0">
        <cfvo type="num" val="0"/>
        <cfvo type="num" val="1"/>
        <color rgb="FF63C384"/>
      </dataBar>
      <extLst>
        <ext xmlns:x14="http://schemas.microsoft.com/office/spreadsheetml/2009/9/main" uri="{B025F937-C7B1-47D3-B67F-A62EFF666E3E}">
          <x14:id>{17B7A14D-0235-4586-81EF-FE866C26ED03}</x14:id>
        </ext>
      </extLst>
    </cfRule>
  </conditionalFormatting>
  <conditionalFormatting sqref="AA84">
    <cfRule type="containsText" dxfId="6" priority="22" operator="containsText" text="Ja">
      <formula>NOT(ISERROR(SEARCH("Ja",AA84)))</formula>
    </cfRule>
  </conditionalFormatting>
  <conditionalFormatting sqref="AB84">
    <cfRule type="containsText" dxfId="5" priority="14" operator="containsText" text="Ja">
      <formula>NOT(ISERROR(SEARCH("Ja",AB84)))</formula>
    </cfRule>
    <cfRule type="dataBar" priority="15">
      <dataBar showValue="0">
        <cfvo type="num" val="0"/>
        <cfvo type="num" val="1"/>
        <color rgb="FF00B050"/>
      </dataBar>
      <extLst>
        <ext xmlns:x14="http://schemas.microsoft.com/office/spreadsheetml/2009/9/main" uri="{B025F937-C7B1-47D3-B67F-A62EFF666E3E}">
          <x14:id>{6FEC7970-A3C9-44F7-A881-9DBD3FB70004}</x14:id>
        </ext>
      </extLst>
    </cfRule>
  </conditionalFormatting>
  <conditionalFormatting sqref="AB85 Y85 Y90:Y1048576 AB90:AB1048576 AB18:AB83 Y18:Y83 T18:T1048576 K18:K1048576 Q18:Q1048576 G18:G1048576">
    <cfRule type="dataBar" priority="37">
      <dataBar showValue="0">
        <cfvo type="num" val="0"/>
        <cfvo type="num" val="1"/>
        <color rgb="FF00B050"/>
      </dataBar>
      <extLst>
        <ext xmlns:x14="http://schemas.microsoft.com/office/spreadsheetml/2009/9/main" uri="{B025F937-C7B1-47D3-B67F-A62EFF666E3E}">
          <x14:id>{E48E0746-887F-4B4E-B11E-B41EF607B766}</x14:id>
        </ext>
      </extLst>
    </cfRule>
  </conditionalFormatting>
  <conditionalFormatting sqref="AB86">
    <cfRule type="dataBar" priority="6">
      <dataBar showValue="0">
        <cfvo type="num" val="0"/>
        <cfvo type="num" val="1"/>
        <color rgb="FF00B050"/>
      </dataBar>
      <extLst>
        <ext xmlns:x14="http://schemas.microsoft.com/office/spreadsheetml/2009/9/main" uri="{B025F937-C7B1-47D3-B67F-A62EFF666E3E}">
          <x14:id>{96EF4DDB-18D3-499C-9CB3-3E00E666771C}</x14:id>
        </ext>
      </extLst>
    </cfRule>
  </conditionalFormatting>
  <conditionalFormatting sqref="AB86:AB87">
    <cfRule type="containsText" dxfId="4" priority="3" operator="containsText" text="Ja">
      <formula>NOT(ISERROR(SEARCH("Ja",AB86)))</formula>
    </cfRule>
  </conditionalFormatting>
  <conditionalFormatting sqref="AB87">
    <cfRule type="dataBar" priority="4">
      <dataBar showValue="0">
        <cfvo type="num" val="0"/>
        <cfvo type="num" val="1"/>
        <color rgb="FF00B050"/>
      </dataBar>
      <extLst>
        <ext xmlns:x14="http://schemas.microsoft.com/office/spreadsheetml/2009/9/main" uri="{B025F937-C7B1-47D3-B67F-A62EFF666E3E}">
          <x14:id>{7FC90B5A-D3F1-4F42-9890-64C463200A0F}</x14:id>
        </ext>
      </extLst>
    </cfRule>
  </conditionalFormatting>
  <conditionalFormatting sqref="AB89:AB90">
    <cfRule type="dataBar" priority="12">
      <dataBar showValue="0">
        <cfvo type="num" val="0"/>
        <cfvo type="num" val="1"/>
        <color rgb="FF00B050"/>
      </dataBar>
      <extLst>
        <ext xmlns:x14="http://schemas.microsoft.com/office/spreadsheetml/2009/9/main" uri="{B025F937-C7B1-47D3-B67F-A62EFF666E3E}">
          <x14:id>{B7183267-124F-448F-B841-8DF4C464130A}</x14:id>
        </ext>
      </extLst>
    </cfRule>
  </conditionalFormatting>
  <conditionalFormatting sqref="AC84">
    <cfRule type="containsText" dxfId="3" priority="21" operator="containsText" text="Ja">
      <formula>NOT(ISERROR(SEARCH("Ja",AC84)))</formula>
    </cfRule>
  </conditionalFormatting>
  <conditionalFormatting sqref="AD84">
    <cfRule type="containsText" dxfId="2" priority="20" operator="containsText" text="Ja">
      <formula>NOT(ISERROR(SEARCH("Ja",AD84)))</formula>
    </cfRule>
  </conditionalFormatting>
  <conditionalFormatting sqref="AE84">
    <cfRule type="containsText" dxfId="1" priority="19" operator="containsText" text="Ja">
      <formula>NOT(ISERROR(SEARCH("Ja",AE84)))</formula>
    </cfRule>
  </conditionalFormatting>
  <conditionalFormatting sqref="AF84">
    <cfRule type="containsText" dxfId="0" priority="18" operator="containsText" text="Ja">
      <formula>NOT(ISERROR(SEARCH("Ja",AF84)))</formula>
    </cfRule>
  </conditionalFormatting>
  <hyperlinks>
    <hyperlink ref="B12" r:id="rId1" xr:uid="{85A94903-4B02-48FC-ABF2-2088C9F1AEDF}"/>
  </hyperlinks>
  <pageMargins left="0.7" right="0.7" top="0.78740157499999996" bottom="0.78740157499999996" header="0.3" footer="0.3"/>
  <pageSetup paperSize="9" orientation="landscape" horizontalDpi="300" r:id="rId2"/>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E2EA69A0-8686-41D1-9F77-31C1CBB4EC31}">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Y17 AB17 K17 G17 T17 Q17</xm:sqref>
        </x14:conditionalFormatting>
        <x14:conditionalFormatting xmlns:xm="http://schemas.microsoft.com/office/excel/2006/main">
          <x14:cfRule type="dataBar" id="{17B7A14D-0235-4586-81EF-FE866C26ED03}">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m:sqref>AA1:AA16 X1:X16 J1:J16 F1:F16 S1:S16 P1:P16</xm:sqref>
        </x14:conditionalFormatting>
        <x14:conditionalFormatting xmlns:xm="http://schemas.microsoft.com/office/excel/2006/main">
          <x14:cfRule type="dataBar" id="{6FEC7970-A3C9-44F7-A881-9DBD3FB70004}">
            <x14:dataBar minLength="0" maxLength="100" border="1">
              <x14:cfvo type="num">
                <xm:f>0</xm:f>
              </x14:cfvo>
              <x14:cfvo type="num">
                <xm:f>1</xm:f>
              </x14:cfvo>
              <x14:borderColor rgb="FF00B050"/>
              <x14:negativeFillColor rgb="FFFF0000"/>
              <x14:axisColor rgb="FF000000"/>
            </x14:dataBar>
          </x14:cfRule>
          <xm:sqref>AB84</xm:sqref>
        </x14:conditionalFormatting>
        <x14:conditionalFormatting xmlns:xm="http://schemas.microsoft.com/office/excel/2006/main">
          <x14:cfRule type="dataBar" id="{E48E0746-887F-4B4E-B11E-B41EF607B766}">
            <x14:dataBar minLength="0" maxLength="100" border="1">
              <x14:cfvo type="num">
                <xm:f>0</xm:f>
              </x14:cfvo>
              <x14:cfvo type="num">
                <xm:f>1</xm:f>
              </x14:cfvo>
              <x14:borderColor rgb="FF00B050"/>
              <x14:negativeFillColor rgb="FFFF0000"/>
              <x14:axisColor rgb="FF000000"/>
            </x14:dataBar>
          </x14:cfRule>
          <xm:sqref>AB85 Y85 Y90:Y1048576 AB90:AB1048576 AB18:AB83 Y18:Y83 T18:T1048576 K18:K1048576 Q18:Q1048576 G18:G1048576</xm:sqref>
        </x14:conditionalFormatting>
        <x14:conditionalFormatting xmlns:xm="http://schemas.microsoft.com/office/excel/2006/main">
          <x14:cfRule type="dataBar" id="{96EF4DDB-18D3-499C-9CB3-3E00E666771C}">
            <x14:dataBar minLength="0" maxLength="100" border="1">
              <x14:cfvo type="num">
                <xm:f>0</xm:f>
              </x14:cfvo>
              <x14:cfvo type="num">
                <xm:f>1</xm:f>
              </x14:cfvo>
              <x14:borderColor rgb="FF00B050"/>
              <x14:negativeFillColor rgb="FFFF0000"/>
              <x14:axisColor rgb="FF000000"/>
            </x14:dataBar>
          </x14:cfRule>
          <xm:sqref>AB86</xm:sqref>
        </x14:conditionalFormatting>
        <x14:conditionalFormatting xmlns:xm="http://schemas.microsoft.com/office/excel/2006/main">
          <x14:cfRule type="dataBar" id="{7FC90B5A-D3F1-4F42-9890-64C463200A0F}">
            <x14:dataBar minLength="0" maxLength="100" border="1">
              <x14:cfvo type="num">
                <xm:f>0</xm:f>
              </x14:cfvo>
              <x14:cfvo type="num">
                <xm:f>1</xm:f>
              </x14:cfvo>
              <x14:borderColor rgb="FF00B050"/>
              <x14:negativeFillColor rgb="FFFF0000"/>
              <x14:axisColor rgb="FF000000"/>
            </x14:dataBar>
          </x14:cfRule>
          <xm:sqref>AB87</xm:sqref>
        </x14:conditionalFormatting>
        <x14:conditionalFormatting xmlns:xm="http://schemas.microsoft.com/office/excel/2006/main">
          <x14:cfRule type="dataBar" id="{B7183267-124F-448F-B841-8DF4C464130A}">
            <x14:dataBar minLength="0" maxLength="100" border="1">
              <x14:cfvo type="num">
                <xm:f>0</xm:f>
              </x14:cfvo>
              <x14:cfvo type="num">
                <xm:f>1</xm:f>
              </x14:cfvo>
              <x14:borderColor rgb="FF00B050"/>
              <x14:negativeFillColor rgb="FFFF0000"/>
              <x14:axisColor rgb="FF000000"/>
            </x14:dataBar>
          </x14:cfRule>
          <xm:sqref>AB89:AB90</xm:sqref>
        </x14:conditionalFormatting>
      </x14:conditionalFormattings>
    </ex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s q m i d = " f 4 f 9 f e 2 0 - 0 e 7 7 - 4 8 4 c - 8 8 7 7 - f 6 c d d 2 4 3 5 0 3 b "   x m l n s = " h t t p : / / s c h e m a s . m i c r o s o f t . c o m / D a t a M a s h u p " > A A A A A A 0 D A A B Q S w M E F A A C A A g A X H e R X G w E H o q m A A A A 9 g A A A B I A H A B D b 2 5 m a W c v U G F j a 2 F n Z S 5 4 b W w g o h g A K K A U A A A A A A A A A A A A A A A A A A A A A A A A A A A A h Y + x D o I w G I R f h X S n L S U a Q 3 7 K w O I g i Y m J c W 1 K h U Y o h h b L u z n 4 S L 6 C G E X d H O / u u + T u f r 1 B N r Z N c F G 9 1 Z 1 J U Y Q p C p S R X a l N l a L B H c M V y j h s h T y J S g U T b G w y W p 2 i 2 r l z Q o j 3 H v s Y d 3 1 F G K U R O R S b n a x V K 0 J t r B N G K v R p l f 9 b i M P + N Y Y z H C 1 i z N g S U y C z C Y U 2 X 4 B N e 5 / p j w n 5 0 L i h V 7 x U Y b 4 G M k s g 7 w / 8 A V B L A w Q U A A I A C A B c d 5 F 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X H e R X C i K R 7 g O A A A A E Q A A A B M A H A B G b 3 J t d W x h c y 9 T Z W N 0 a W 9 u M S 5 t I K I Y A C i g F A A A A A A A A A A A A A A A A A A A A A A A A A A A A C t O T S 7 J z M 9 T C I b Q h t Y A U E s B A i 0 A F A A C A A g A X H e R X G w E H o q m A A A A 9 g A A A B I A A A A A A A A A A A A A A A A A A A A A A E N v b m Z p Z y 9 Q Y W N r Y W d l L n h t b F B L A Q I t A B Q A A g A I A F x 3 k V x T c j g s m w A A A O E A A A A T A A A A A A A A A A A A A A A A A P I A A A B b Q 2 9 u d G V u d F 9 U e X B l c 1 0 u e G 1 s U E s B A i 0 A F A A C A A g A X H e R X C i K R 7 g O A A A A E Q A A A B M A A A A A A A A A A A A A A A A A 2 g E A A E Z v c m 1 1 b G F z L 1 N l Y 3 R p b 2 4 x L m 1 Q S w U G A A A A A A M A A w D C A A A A N 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x Q E A A A A A A A C j 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A C m s + n o a w b Q o E s + K V f w n 8 7 A A A A A A I A A A A A A B B m A A A A A Q A A I A A A A G D 0 C p 9 k p 4 B L Y P M j c n v Q g u i k W + n T b K T y m O a u P X L T Y p i m A A A A A A 6 A A A A A A g A A I A A A A I B 4 m S u t d 0 3 F o S 2 Z F c / a 3 z p a d t h B 1 C o + w 8 L 0 n t j G 6 g f / U A A A A I P y x M X h H G Z b G P v a H 9 o H n o Q F t 8 w S m m n P x k N k O D V M I 9 m p Q 5 K 9 b J 1 2 B W a s I N + m I m d D 1 H H Q w q 4 a X S b y 1 p E D O r 8 Z P e P s P j O a N J Z j D O C h F T Z e R 1 B M Q A A A A P L 4 Q x p R a A 0 g h T 0 m I Y q 3 u W z f f / Q o v T M B 0 Q j F Q p z s v M a i r r k z B + 4 P 8 f B 6 z h 3 5 V z i 3 A o 5 e 3 t n t s l 6 z 9 H 1 0 D j G Q 7 1 w = < / D a t a M a s h u p > 
</file>

<file path=customXml/item3.xml><?xml version="1.0" encoding="utf-8"?>
<ct:contentTypeSchema xmlns:ct="http://schemas.microsoft.com/office/2006/metadata/contentType" xmlns:ma="http://schemas.microsoft.com/office/2006/metadata/properties/metaAttributes" ct:_="" ma:_="" ma:contentTypeName="Dokument" ma:contentTypeID="0x0101004259CCD797185941BF71105A298698E6" ma:contentTypeVersion="12" ma:contentTypeDescription="Ein neues Dokument erstellen." ma:contentTypeScope="" ma:versionID="5cfdd9b12572a7d0df5a507f5846477d">
  <xsd:schema xmlns:xsd="http://www.w3.org/2001/XMLSchema" xmlns:xs="http://www.w3.org/2001/XMLSchema" xmlns:p="http://schemas.microsoft.com/office/2006/metadata/properties" xmlns:ns2="80aec487-e478-4ea4-83b3-f905ecde06f1" xmlns:ns3="d84a13b4-3274-454b-bf96-9fe1ecf78a23" targetNamespace="http://schemas.microsoft.com/office/2006/metadata/properties" ma:root="true" ma:fieldsID="792e0855ba9faaf67cdbc70db9778857" ns2:_="" ns3:_="">
    <xsd:import namespace="80aec487-e478-4ea4-83b3-f905ecde06f1"/>
    <xsd:import namespace="d84a13b4-3274-454b-bf96-9fe1ecf78a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aec487-e478-4ea4-83b3-f905ecde06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23b05174-c8bf-482c-a573-ecd07c9456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4a13b4-3274-454b-bf96-9fe1ecf78a2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f9b072-6ed0-4c63-893e-63188962e440}" ma:internalName="TaxCatchAll" ma:showField="CatchAllData" ma:web="d84a13b4-3274-454b-bf96-9fe1ecf78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0aec487-e478-4ea4-83b3-f905ecde06f1">
      <Terms xmlns="http://schemas.microsoft.com/office/infopath/2007/PartnerControls"/>
    </lcf76f155ced4ddcb4097134ff3c332f>
    <TaxCatchAll xmlns="d84a13b4-3274-454b-bf96-9fe1ecf78a23" xsi:nil="true"/>
  </documentManagement>
</p:properties>
</file>

<file path=customXml/itemProps1.xml><?xml version="1.0" encoding="utf-8"?>
<ds:datastoreItem xmlns:ds="http://schemas.openxmlformats.org/officeDocument/2006/customXml" ds:itemID="{8CE699A9-3E0B-4CC3-A280-D54B2781EE76}">
  <ds:schemaRefs>
    <ds:schemaRef ds:uri="http://schemas.microsoft.com/sharepoint/v3/contenttype/forms"/>
  </ds:schemaRefs>
</ds:datastoreItem>
</file>

<file path=customXml/itemProps2.xml><?xml version="1.0" encoding="utf-8"?>
<ds:datastoreItem xmlns:ds="http://schemas.openxmlformats.org/officeDocument/2006/customXml" ds:itemID="{88FE4EDC-BA9D-491E-A4D3-8426373F7FC8}">
  <ds:schemaRefs>
    <ds:schemaRef ds:uri="http://schemas.microsoft.com/DataMashup"/>
  </ds:schemaRefs>
</ds:datastoreItem>
</file>

<file path=customXml/itemProps3.xml><?xml version="1.0" encoding="utf-8"?>
<ds:datastoreItem xmlns:ds="http://schemas.openxmlformats.org/officeDocument/2006/customXml" ds:itemID="{8CED06C2-1024-4AD0-A2F3-9CC76C3A0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aec487-e478-4ea4-83b3-f905ecde06f1"/>
    <ds:schemaRef ds:uri="d84a13b4-3274-454b-bf96-9fe1ecf78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137CF1-4AAB-4B22-9F3C-F5BBE2FDAAA5}">
  <ds:schemaRefs>
    <ds:schemaRef ds:uri="http://purl.org/dc/elements/1.1/"/>
    <ds:schemaRef ds:uri="http://schemas.microsoft.com/office/infopath/2007/PartnerControls"/>
    <ds:schemaRef ds:uri="80aec487-e478-4ea4-83b3-f905ecde06f1"/>
    <ds:schemaRef ds:uri="http://schemas.microsoft.com/office/2006/metadata/properties"/>
    <ds:schemaRef ds:uri="http://purl.org/dc/terms/"/>
    <ds:schemaRef ds:uri="http://schemas.microsoft.com/office/2006/documentManagement/types"/>
    <ds:schemaRef ds:uri="d84a13b4-3274-454b-bf96-9fe1ecf78a23"/>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eQMS Query 042026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Lutz Stehling</dc:creator>
  <cp:keywords/>
  <dc:description/>
  <cp:lastModifiedBy>Nina Röschmann</cp:lastModifiedBy>
  <cp:revision/>
  <cp:lastPrinted>2026-06-12T10:59:44Z</cp:lastPrinted>
  <dcterms:created xsi:type="dcterms:W3CDTF">2022-11-23T12:28:11Z</dcterms:created>
  <dcterms:modified xsi:type="dcterms:W3CDTF">2026-06-23T13:51:18Z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0x0101004259CCD797185941BF71105A298698E6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db2291df-2c39-4972-8991-73bffae8cd59_Enabled">
    <vt:lpwstr>true</vt:lpwstr>
  </property>
  <property fmtid="{D5CDD505-2E9C-101B-9397-08002B2CF9AE}" pid="11" name="MSIP_Label_db2291df-2c39-4972-8991-73bffae8cd59_SetDate">
    <vt:lpwstr>2025-08-26T06:40:52Z</vt:lpwstr>
  </property>
  <property fmtid="{D5CDD505-2E9C-101B-9397-08002B2CF9AE}" pid="12" name="MSIP_Label_db2291df-2c39-4972-8991-73bffae8cd59_Method">
    <vt:lpwstr>Standard</vt:lpwstr>
  </property>
  <property fmtid="{D5CDD505-2E9C-101B-9397-08002B2CF9AE}" pid="13" name="MSIP_Label_db2291df-2c39-4972-8991-73bffae8cd59_Name">
    <vt:lpwstr>General</vt:lpwstr>
  </property>
  <property fmtid="{D5CDD505-2E9C-101B-9397-08002B2CF9AE}" pid="14" name="MSIP_Label_db2291df-2c39-4972-8991-73bffae8cd59_SiteId">
    <vt:lpwstr>dc94445f-aec7-432d-bb4f-92044bf670eb</vt:lpwstr>
  </property>
  <property fmtid="{D5CDD505-2E9C-101B-9397-08002B2CF9AE}" pid="15" name="MSIP_Label_db2291df-2c39-4972-8991-73bffae8cd59_ActionId">
    <vt:lpwstr>e6114a30-6800-468a-b2fd-742198af8efd</vt:lpwstr>
  </property>
  <property fmtid="{D5CDD505-2E9C-101B-9397-08002B2CF9AE}" pid="16" name="MSIP_Label_db2291df-2c39-4972-8991-73bffae8cd59_ContentBits">
    <vt:lpwstr>0</vt:lpwstr>
  </property>
  <property fmtid="{D5CDD505-2E9C-101B-9397-08002B2CF9AE}" pid="17" name="MSIP_Label_db2291df-2c39-4972-8991-73bffae8cd59_Tag">
    <vt:lpwstr>10, 3, 0, 1</vt:lpwstr>
  </property>
</Properties>
</file>